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farza\iCloudDrive\Farshan &amp; Co\WEBSITE\"/>
    </mc:Choice>
  </mc:AlternateContent>
  <xr:revisionPtr revIDLastSave="0" documentId="13_ncr:1_{45F01850-4B38-4499-B741-CCF6F60940F5}" xr6:coauthVersionLast="45" xr6:coauthVersionMax="45" xr10:uidLastSave="{00000000-0000-0000-0000-000000000000}"/>
  <bookViews>
    <workbookView xWindow="0" yWindow="0" windowWidth="28800" windowHeight="15600" xr2:uid="{00000000-000D-0000-FFFF-FFFF00000000}"/>
  </bookViews>
  <sheets>
    <sheet name="England and Wales" sheetId="1" r:id="rId1"/>
    <sheet name="Northern Ireland" sheetId="2" r:id="rId2"/>
    <sheet name="Scotla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0" i="3" l="1"/>
  <c r="AA59" i="3"/>
  <c r="AA58" i="3"/>
  <c r="N45" i="3"/>
  <c r="N44" i="3"/>
  <c r="AD42" i="3"/>
  <c r="AA42" i="3"/>
  <c r="N42" i="3"/>
  <c r="N41" i="3"/>
  <c r="N40" i="3"/>
  <c r="N37" i="3"/>
  <c r="N36" i="3"/>
  <c r="AA34" i="3"/>
  <c r="AB31" i="3"/>
  <c r="AA31" i="3"/>
  <c r="AA30" i="3"/>
  <c r="N20" i="3"/>
  <c r="N19" i="3"/>
  <c r="L19" i="3" s="1"/>
  <c r="L20" i="3" s="1"/>
  <c r="M18" i="3"/>
  <c r="M20" i="3" s="1"/>
  <c r="L18" i="3"/>
  <c r="AA60" i="2"/>
  <c r="AA59" i="2"/>
  <c r="AA58" i="2"/>
  <c r="AA55" i="2"/>
  <c r="N43" i="2"/>
  <c r="AA42" i="2"/>
  <c r="N42" i="2"/>
  <c r="N40" i="2"/>
  <c r="N39" i="2"/>
  <c r="N38" i="2"/>
  <c r="N35" i="2"/>
  <c r="AA34" i="2"/>
  <c r="N34" i="2"/>
  <c r="AA31" i="2"/>
  <c r="AB31" i="2" s="1"/>
  <c r="AA30" i="2"/>
  <c r="N20" i="2"/>
  <c r="N19" i="2"/>
  <c r="L19" i="2"/>
  <c r="M18" i="2"/>
  <c r="L18" i="2" s="1"/>
  <c r="L20" i="2" s="1"/>
  <c r="AA60" i="1"/>
  <c r="AA59" i="1"/>
  <c r="AA58" i="1"/>
  <c r="N43" i="1"/>
  <c r="AA42" i="1"/>
  <c r="N42" i="1"/>
  <c r="N40" i="1"/>
  <c r="N39" i="1"/>
  <c r="N38" i="1"/>
  <c r="N35" i="1"/>
  <c r="AA34" i="1"/>
  <c r="N34" i="1"/>
  <c r="AB31" i="1"/>
  <c r="AA31" i="1"/>
  <c r="AA30" i="1"/>
  <c r="N20" i="1"/>
  <c r="N19" i="1"/>
  <c r="L19" i="1"/>
  <c r="M18" i="1"/>
  <c r="L18" i="1" s="1"/>
  <c r="L20" i="1" s="1"/>
  <c r="M20" i="1" l="1"/>
  <c r="AA33" i="2"/>
  <c r="AA32" i="2"/>
  <c r="L21" i="2"/>
  <c r="L22" i="2" s="1"/>
  <c r="AA33" i="3"/>
  <c r="AB33" i="3" s="1"/>
  <c r="AA32" i="3"/>
  <c r="L21" i="3"/>
  <c r="M21" i="3" s="1"/>
  <c r="AA33" i="1"/>
  <c r="AA32" i="1"/>
  <c r="L21" i="1" s="1"/>
  <c r="M21" i="1" s="1"/>
  <c r="M22" i="1" s="1"/>
  <c r="AA55" i="1"/>
  <c r="AA55" i="3"/>
  <c r="M20" i="2"/>
  <c r="M22" i="3" l="1"/>
  <c r="AB33" i="2"/>
  <c r="AA37" i="2"/>
  <c r="AA38" i="2" s="1"/>
  <c r="N21" i="3"/>
  <c r="N22" i="3" s="1"/>
  <c r="M21" i="2"/>
  <c r="N21" i="2" s="1"/>
  <c r="N22" i="2" s="1"/>
  <c r="M22" i="2"/>
  <c r="L22" i="3"/>
  <c r="AA37" i="3"/>
  <c r="AA38" i="3" s="1"/>
  <c r="N21" i="1"/>
  <c r="N22" i="1" s="1"/>
  <c r="L22" i="1"/>
  <c r="AB33" i="1"/>
  <c r="AA37" i="1"/>
  <c r="AA38" i="1" s="1"/>
  <c r="M29" i="2" l="1"/>
  <c r="N29" i="2" s="1"/>
  <c r="AA43" i="2"/>
  <c r="AB38" i="2"/>
  <c r="AA39" i="2"/>
  <c r="AB39" i="2" s="1"/>
  <c r="AA54" i="3"/>
  <c r="M24" i="3" s="1"/>
  <c r="M29" i="1"/>
  <c r="N29" i="1" s="1"/>
  <c r="AD43" i="3"/>
  <c r="AA43" i="3"/>
  <c r="AB38" i="3"/>
  <c r="AA44" i="3"/>
  <c r="AA46" i="3" s="1"/>
  <c r="AA39" i="3"/>
  <c r="AB39" i="3" s="1"/>
  <c r="AA49" i="3"/>
  <c r="M25" i="3" s="1"/>
  <c r="AA45" i="3"/>
  <c r="AA43" i="1"/>
  <c r="AB38" i="1"/>
  <c r="AA39" i="1"/>
  <c r="AB39" i="1" s="1"/>
  <c r="M31" i="3"/>
  <c r="N31" i="3" s="1"/>
  <c r="N25" i="3" l="1"/>
  <c r="M26" i="3"/>
  <c r="AA44" i="1"/>
  <c r="AA54" i="1" s="1"/>
  <c r="M24" i="1" s="1"/>
  <c r="M25" i="1" s="1"/>
  <c r="AA44" i="2"/>
  <c r="AA54" i="2" s="1"/>
  <c r="M24" i="2" s="1"/>
  <c r="M25" i="2" s="1"/>
  <c r="AD44" i="3"/>
  <c r="N25" i="1" l="1"/>
  <c r="M26" i="1"/>
  <c r="N25" i="2"/>
  <c r="M26" i="2"/>
  <c r="N26" i="3"/>
  <c r="M27" i="3"/>
  <c r="N26" i="1" l="1"/>
  <c r="M27" i="1"/>
  <c r="AA45" i="1"/>
  <c r="M30" i="1" s="1"/>
  <c r="N27" i="3"/>
  <c r="AA47" i="3"/>
  <c r="M28" i="3"/>
  <c r="N26" i="2"/>
  <c r="M27" i="2"/>
  <c r="AA45" i="2"/>
  <c r="M30" i="2" s="1"/>
  <c r="N30" i="1" l="1"/>
  <c r="N27" i="1"/>
  <c r="AA46" i="1"/>
  <c r="M31" i="1" s="1"/>
  <c r="N30" i="2"/>
  <c r="M31" i="2"/>
  <c r="AA46" i="2"/>
  <c r="N27" i="2"/>
  <c r="N28" i="3"/>
  <c r="M29" i="3"/>
  <c r="AD45" i="3"/>
  <c r="M32" i="3" s="1"/>
  <c r="N31" i="1" l="1"/>
  <c r="Z51" i="1"/>
  <c r="AA51" i="1" s="1"/>
  <c r="M32" i="1"/>
  <c r="N32" i="1" s="1"/>
  <c r="N32" i="3"/>
  <c r="AD46" i="3"/>
  <c r="M33" i="3" s="1"/>
  <c r="N29" i="3"/>
  <c r="AA48" i="3"/>
  <c r="N31" i="2"/>
  <c r="N37" i="2" s="1"/>
  <c r="Z51" i="2"/>
  <c r="AA51" i="2" s="1"/>
  <c r="M32" i="2"/>
  <c r="N32" i="2" s="1"/>
  <c r="Z52" i="1" l="1"/>
  <c r="AA52" i="1" s="1"/>
  <c r="N37" i="1"/>
  <c r="X45" i="1" s="1"/>
  <c r="N33" i="3"/>
  <c r="Z51" i="3"/>
  <c r="AA51" i="3" s="1"/>
  <c r="Z52" i="3"/>
  <c r="AA52" i="3" s="1"/>
  <c r="M34" i="3"/>
  <c r="N34" i="3" s="1"/>
  <c r="N45" i="2"/>
  <c r="X45" i="2"/>
  <c r="Z52" i="2"/>
  <c r="AA52" i="2" s="1"/>
  <c r="N45" i="1" l="1"/>
  <c r="N52" i="2"/>
  <c r="N58" i="2" s="1"/>
  <c r="N55" i="2"/>
  <c r="N52" i="1"/>
  <c r="N58" i="1" s="1"/>
  <c r="N39" i="3"/>
  <c r="N55" i="1" l="1"/>
  <c r="N47" i="3"/>
  <c r="X45" i="3"/>
  <c r="N54" i="3" l="1"/>
  <c r="N60" i="3" s="1"/>
  <c r="N57" i="3" l="1"/>
</calcChain>
</file>

<file path=xl/sharedStrings.xml><?xml version="1.0" encoding="utf-8"?>
<sst xmlns="http://schemas.openxmlformats.org/spreadsheetml/2006/main" count="285" uniqueCount="92">
  <si>
    <t>Personal tax estimator - 2020/21 tax year</t>
  </si>
  <si>
    <t>For residents in England or Wales</t>
  </si>
  <si>
    <t>Disclaimer</t>
  </si>
  <si>
    <t>Yes</t>
  </si>
  <si>
    <t>No</t>
  </si>
  <si>
    <t>For income between 6th April 2020 and 5th April 2021</t>
  </si>
  <si>
    <t xml:space="preserve">Step 1 - Answer the questions below </t>
  </si>
  <si>
    <t>Step 2 - View your tax estimations</t>
  </si>
  <si>
    <t>Do you need to make Student Loan Repayments?</t>
  </si>
  <si>
    <t>Income</t>
  </si>
  <si>
    <t>Non-Dividend</t>
  </si>
  <si>
    <t>Dividend</t>
  </si>
  <si>
    <t>(If your course started prior to 1 September 2012, then Plan 1, otherwise Plan 2)</t>
  </si>
  <si>
    <t>Yes - Plan 1</t>
  </si>
  <si>
    <t>Yes - Plan 2</t>
  </si>
  <si>
    <t>Total:</t>
  </si>
  <si>
    <t>Do you need to make Postgraduate Loan Repayments?</t>
  </si>
  <si>
    <t>Less PA:</t>
  </si>
  <si>
    <t>Taxable:</t>
  </si>
  <si>
    <t>Yes - PGL</t>
  </si>
  <si>
    <t>PAYE Income:</t>
  </si>
  <si>
    <t>Interest @ 0%</t>
  </si>
  <si>
    <t>Income @ 20%</t>
  </si>
  <si>
    <t>PAYE Tax paid to date:</t>
  </si>
  <si>
    <t>Income @ 40%</t>
  </si>
  <si>
    <t>(If you have paid any tax from other PAYE employment in the 2019/20 tax year)</t>
  </si>
  <si>
    <t>Income @ 45%</t>
  </si>
  <si>
    <t>Dividends @ 0%</t>
  </si>
  <si>
    <t>Taxable Employment benefits</t>
  </si>
  <si>
    <t>Dividends @ 7.5%</t>
  </si>
  <si>
    <t>Gross Pension Contributions:</t>
  </si>
  <si>
    <t>(Such as company car, private healthcare or any other P11d benefits)</t>
  </si>
  <si>
    <t>Dividends @ 32.5%</t>
  </si>
  <si>
    <t>Gross Gift Aid:</t>
  </si>
  <si>
    <t>Dividends @ 38.1%</t>
  </si>
  <si>
    <t>Net Adjusted Income:</t>
  </si>
  <si>
    <t>Adj Pension Annual Allowance:</t>
  </si>
  <si>
    <t>Student Loan Repayments:</t>
  </si>
  <si>
    <t>Earnings:</t>
  </si>
  <si>
    <t>Gross Bank Interest received to date</t>
  </si>
  <si>
    <t>Postgraduate Loan Repayments:</t>
  </si>
  <si>
    <t>Tax Deducted from Interest Received</t>
  </si>
  <si>
    <t>Total Tax:</t>
  </si>
  <si>
    <t>Lower of Earnings/Cap:</t>
  </si>
  <si>
    <t>Class 1 NI:</t>
  </si>
  <si>
    <t>(Employee/director only)</t>
  </si>
  <si>
    <t>Personal Allowance:</t>
  </si>
  <si>
    <t>Pension Contribution Relief Limit:</t>
  </si>
  <si>
    <t>Class  2 NI:</t>
  </si>
  <si>
    <t>(Sole-trade only)</t>
  </si>
  <si>
    <t>Higher Rate Threshold</t>
  </si>
  <si>
    <t>Basis rate band increase</t>
  </si>
  <si>
    <t>Sole-trade profit</t>
  </si>
  <si>
    <t>Class  4 NI:</t>
  </si>
  <si>
    <t>Additional Rate Threshold</t>
  </si>
  <si>
    <t>Less Tax Paid</t>
  </si>
  <si>
    <t>PAYE</t>
  </si>
  <si>
    <t>Other income (e.g rental profit)</t>
  </si>
  <si>
    <t>Interest</t>
  </si>
  <si>
    <t>Pension Scheme Allowance:</t>
  </si>
  <si>
    <t>Basic Rate</t>
  </si>
  <si>
    <t>Higher Rate</t>
  </si>
  <si>
    <t>Total to Pay/(Refunded):</t>
  </si>
  <si>
    <t>Relevant % for POAs</t>
  </si>
  <si>
    <t>Basic Rate Left</t>
  </si>
  <si>
    <t>Pension contributions PAID</t>
  </si>
  <si>
    <t xml:space="preserve"> </t>
  </si>
  <si>
    <t>Higher Rate Left</t>
  </si>
  <si>
    <t>Payment schedule</t>
  </si>
  <si>
    <t>Charitable donations PAID</t>
  </si>
  <si>
    <t>Total Payments on Account for 2020/21 paid by 31st Jan 2021 and 31st Jul 2021:</t>
  </si>
  <si>
    <t>Income from dividends</t>
  </si>
  <si>
    <t>First Payment on Account for 2020/21 due by 31st January 2022:</t>
  </si>
  <si>
    <t>Personal Savings Allowance</t>
  </si>
  <si>
    <t xml:space="preserve"> Total Payable by 31st January 2022:</t>
  </si>
  <si>
    <t>Starting interest allowance</t>
  </si>
  <si>
    <t>Dividend Allowance</t>
  </si>
  <si>
    <t>Second Payment on Account for 2020/21 due by 31st July 2022:</t>
  </si>
  <si>
    <t>Student Loan Plan 1:</t>
  </si>
  <si>
    <t>Student Loan Plan 2:</t>
  </si>
  <si>
    <t>Postgraduate Loan:</t>
  </si>
  <si>
    <t xml:space="preserve">     -</t>
  </si>
  <si>
    <t>For residents in Northern Ireland</t>
  </si>
  <si>
    <t>Income @ 19%</t>
  </si>
  <si>
    <t>Income @ 21%</t>
  </si>
  <si>
    <t>Income @ 41%</t>
  </si>
  <si>
    <t>Income @ 46%</t>
  </si>
  <si>
    <t>Starter rate</t>
  </si>
  <si>
    <t>Intermediate rate</t>
  </si>
  <si>
    <t>Starter Rate</t>
  </si>
  <si>
    <t>Farshan &amp; Co</t>
  </si>
  <si>
    <t>The Budget Calculator, devised by Farshan &amp; Co, is indicative and should not be used to calculate actual liabilities, determine any financial strategy or as a substitute for professional advice.
Our computation is based on applying Primary NI threshold of £9,500 and Secondary NI threshold of £8,788.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</si>
</sst>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5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name val="Arial"/>
      <family val="2"/>
    </font>
    <font>
      <b/>
      <sz val="24"/>
      <color rgb="FF3E4245"/>
      <name val="Calibri"/>
      <family val="2"/>
    </font>
    <font>
      <b/>
      <sz val="10"/>
      <color rgb="FF3E4245"/>
      <name val="Calibri"/>
      <family val="2"/>
    </font>
    <font>
      <sz val="10"/>
      <color rgb="FF3E4245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rgb="FF3E4245"/>
      <name val="Calibri"/>
      <family val="2"/>
    </font>
    <font>
      <b/>
      <sz val="14"/>
      <color rgb="FF33ADFF"/>
      <name val="Calibri"/>
      <family val="2"/>
    </font>
    <font>
      <b/>
      <sz val="14"/>
      <color rgb="FF76D499"/>
      <name val="Calibri"/>
      <family val="2"/>
    </font>
    <font>
      <sz val="12"/>
      <color rgb="FF3E4245"/>
      <name val="Calibri"/>
      <family val="2"/>
    </font>
    <font>
      <sz val="11"/>
      <color rgb="FF3E4245"/>
      <name val="Calibri"/>
      <family val="2"/>
    </font>
    <font>
      <b/>
      <sz val="12"/>
      <color rgb="FF3E4245"/>
      <name val="Calibri"/>
      <family val="2"/>
    </font>
    <font>
      <sz val="10"/>
      <color rgb="FF999999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8"/>
      <color rgb="FFB7B7B7"/>
      <name val="Calibri"/>
      <family val="2"/>
    </font>
    <font>
      <sz val="11"/>
      <color rgb="FF3F3F76"/>
      <name val="Calibri"/>
      <family val="2"/>
    </font>
    <font>
      <b/>
      <sz val="11"/>
      <color rgb="FF3E4245"/>
      <name val="Calibri"/>
      <family val="2"/>
    </font>
    <font>
      <b/>
      <sz val="14"/>
      <color rgb="FFF7981D"/>
      <name val="Calibri"/>
      <family val="2"/>
    </font>
    <font>
      <sz val="10"/>
      <color theme="1"/>
      <name val="Calibri"/>
      <family val="2"/>
    </font>
    <font>
      <sz val="36"/>
      <color rgb="FFFF0000"/>
      <name val="Calibri"/>
      <family val="2"/>
    </font>
    <font>
      <sz val="3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  <fill>
      <patternFill patternType="solid">
        <fgColor rgb="FF76D499"/>
        <bgColor rgb="FF76D499"/>
      </patternFill>
    </fill>
    <fill>
      <patternFill patternType="solid">
        <fgColor rgb="FFFFCC99"/>
        <bgColor rgb="FFFFCC99"/>
      </patternFill>
    </fill>
    <fill>
      <patternFill patternType="solid">
        <fgColor rgb="FFF7981D"/>
        <bgColor rgb="FFF7981D"/>
      </patternFill>
    </fill>
    <fill>
      <patternFill patternType="solid">
        <fgColor rgb="FFF3F3F3"/>
        <bgColor rgb="FFF3F3F3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33ADFF"/>
      </left>
      <right/>
      <top style="medium">
        <color rgb="FF33ADFF"/>
      </top>
      <bottom/>
      <diagonal/>
    </border>
    <border>
      <left/>
      <right/>
      <top style="medium">
        <color rgb="FF33ADFF"/>
      </top>
      <bottom/>
      <diagonal/>
    </border>
    <border>
      <left/>
      <right style="medium">
        <color rgb="FF33ADFF"/>
      </right>
      <top style="medium">
        <color rgb="FF33ADFF"/>
      </top>
      <bottom/>
      <diagonal/>
    </border>
    <border>
      <left style="medium">
        <color rgb="FF76D499"/>
      </left>
      <right/>
      <top style="medium">
        <color rgb="FF76D499"/>
      </top>
      <bottom/>
      <diagonal/>
    </border>
    <border>
      <left/>
      <right style="thin">
        <color rgb="FF76D499"/>
      </right>
      <top style="medium">
        <color rgb="FF76D499"/>
      </top>
      <bottom/>
      <diagonal/>
    </border>
    <border>
      <left/>
      <right/>
      <top style="medium">
        <color rgb="FF76D499"/>
      </top>
      <bottom/>
      <diagonal/>
    </border>
    <border>
      <left/>
      <right style="medium">
        <color rgb="FF76D499"/>
      </right>
      <top style="medium">
        <color rgb="FF76D499"/>
      </top>
      <bottom/>
      <diagonal/>
    </border>
    <border>
      <left style="medium">
        <color rgb="FF33ADFF"/>
      </left>
      <right/>
      <top/>
      <bottom/>
      <diagonal/>
    </border>
    <border>
      <left style="medium">
        <color rgb="FFFF015B"/>
      </left>
      <right/>
      <top style="medium">
        <color rgb="FFFF015B"/>
      </top>
      <bottom style="medium">
        <color rgb="FFFF015B"/>
      </bottom>
      <diagonal/>
    </border>
    <border>
      <left/>
      <right style="medium">
        <color rgb="FFFF015B"/>
      </right>
      <top style="medium">
        <color rgb="FFFF015B"/>
      </top>
      <bottom style="medium">
        <color rgb="FFFF015B"/>
      </bottom>
      <diagonal/>
    </border>
    <border>
      <left style="medium">
        <color rgb="FFFF015B"/>
      </left>
      <right style="medium">
        <color rgb="FF33ADFF"/>
      </right>
      <top/>
      <bottom/>
      <diagonal/>
    </border>
    <border>
      <left style="medium">
        <color rgb="FF76D499"/>
      </left>
      <right/>
      <top/>
      <bottom style="thin">
        <color rgb="FF76D499"/>
      </bottom>
      <diagonal/>
    </border>
    <border>
      <left/>
      <right style="thin">
        <color rgb="FF76D499"/>
      </right>
      <top/>
      <bottom style="thin">
        <color rgb="FF76D499"/>
      </bottom>
      <diagonal/>
    </border>
    <border>
      <left/>
      <right/>
      <top/>
      <bottom style="thin">
        <color rgb="FF76D499"/>
      </bottom>
      <diagonal/>
    </border>
    <border>
      <left/>
      <right style="medium">
        <color rgb="FF76D499"/>
      </right>
      <top/>
      <bottom style="thin">
        <color rgb="FF76D499"/>
      </bottom>
      <diagonal/>
    </border>
    <border>
      <left style="medium">
        <color rgb="FF33AD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33ADFF"/>
      </right>
      <top/>
      <bottom/>
      <diagonal/>
    </border>
    <border>
      <left style="medium">
        <color rgb="FF76D499"/>
      </left>
      <right/>
      <top/>
      <bottom/>
      <diagonal/>
    </border>
    <border>
      <left style="thin">
        <color rgb="FF76D499"/>
      </left>
      <right/>
      <top/>
      <bottom/>
      <diagonal/>
    </border>
    <border>
      <left/>
      <right style="medium">
        <color rgb="FF76D499"/>
      </right>
      <top/>
      <bottom/>
      <diagonal/>
    </border>
    <border>
      <left style="medium">
        <color rgb="FF33AD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76D499"/>
      </left>
      <right/>
      <top style="thin">
        <color rgb="FF76D499"/>
      </top>
      <bottom style="thin">
        <color rgb="FF76D499"/>
      </bottom>
      <diagonal/>
    </border>
    <border>
      <left/>
      <right/>
      <top style="thin">
        <color rgb="FF76D499"/>
      </top>
      <bottom style="thin">
        <color rgb="FF76D499"/>
      </bottom>
      <diagonal/>
    </border>
    <border>
      <left style="thin">
        <color rgb="FF76D499"/>
      </left>
      <right/>
      <top style="thin">
        <color rgb="FF76D499"/>
      </top>
      <bottom style="thin">
        <color rgb="FF76D499"/>
      </bottom>
      <diagonal/>
    </border>
    <border>
      <left/>
      <right style="medium">
        <color rgb="FF76D499"/>
      </right>
      <top/>
      <bottom/>
      <diagonal/>
    </border>
    <border>
      <left style="medium">
        <color rgb="FF76D499"/>
      </left>
      <right/>
      <top style="thin">
        <color rgb="FF76D499"/>
      </top>
      <bottom style="thin">
        <color rgb="FF76D499"/>
      </bottom>
      <diagonal/>
    </border>
    <border>
      <left style="thin">
        <color rgb="FF76D499"/>
      </left>
      <right/>
      <top style="thin">
        <color rgb="FF76D499"/>
      </top>
      <bottom style="thin">
        <color rgb="FF76D499"/>
      </bottom>
      <diagonal/>
    </border>
    <border>
      <left/>
      <right/>
      <top style="thin">
        <color rgb="FF76D499"/>
      </top>
      <bottom style="thin">
        <color rgb="FF76D499"/>
      </bottom>
      <diagonal/>
    </border>
    <border>
      <left/>
      <right style="medium">
        <color rgb="FF76D499"/>
      </right>
      <top style="thin">
        <color rgb="FF76D499"/>
      </top>
      <bottom style="thin">
        <color rgb="FF76D499"/>
      </bottom>
      <diagonal/>
    </border>
    <border>
      <left/>
      <right style="medium">
        <color rgb="FF33ADFF"/>
      </right>
      <top/>
      <bottom/>
      <diagonal/>
    </border>
    <border>
      <left style="medium">
        <color rgb="FF33AD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rgb="FF76D499"/>
      </left>
      <right/>
      <top/>
      <bottom/>
      <diagonal/>
    </border>
    <border>
      <left style="medium">
        <color rgb="FF76D499"/>
      </left>
      <right/>
      <top/>
      <bottom style="medium">
        <color rgb="FF76D499"/>
      </bottom>
      <diagonal/>
    </border>
    <border>
      <left/>
      <right/>
      <top/>
      <bottom style="medium">
        <color rgb="FF76D499"/>
      </bottom>
      <diagonal/>
    </border>
    <border>
      <left style="thin">
        <color rgb="FF76D499"/>
      </left>
      <right/>
      <top style="thin">
        <color rgb="FF76D499"/>
      </top>
      <bottom style="medium">
        <color rgb="FF76D499"/>
      </bottom>
      <diagonal/>
    </border>
    <border>
      <left/>
      <right style="medium">
        <color rgb="FF76D499"/>
      </right>
      <top/>
      <bottom style="medium">
        <color rgb="FF76D499"/>
      </bottom>
      <diagonal/>
    </border>
    <border>
      <left style="medium">
        <color rgb="FFF7981D"/>
      </left>
      <right/>
      <top style="medium">
        <color rgb="FFF7981D"/>
      </top>
      <bottom/>
      <diagonal/>
    </border>
    <border>
      <left/>
      <right/>
      <top style="medium">
        <color rgb="FFF7981D"/>
      </top>
      <bottom/>
      <diagonal/>
    </border>
    <border>
      <left/>
      <right style="medium">
        <color rgb="FFF7981D"/>
      </right>
      <top style="medium">
        <color rgb="FFF7981D"/>
      </top>
      <bottom/>
      <diagonal/>
    </border>
    <border>
      <left style="medium">
        <color rgb="FFF7981D"/>
      </left>
      <right/>
      <top/>
      <bottom/>
      <diagonal/>
    </border>
    <border>
      <left style="medium">
        <color rgb="FFFF015B"/>
      </left>
      <right style="medium">
        <color rgb="FFFF015B"/>
      </right>
      <top style="medium">
        <color rgb="FFFF015B"/>
      </top>
      <bottom/>
      <diagonal/>
    </border>
    <border>
      <left/>
      <right style="medium">
        <color rgb="FFF7981D"/>
      </right>
      <top/>
      <bottom/>
      <diagonal/>
    </border>
    <border>
      <left style="medium">
        <color rgb="FFFF015B"/>
      </left>
      <right style="medium">
        <color rgb="FFFF015B"/>
      </right>
      <top/>
      <bottom style="medium">
        <color rgb="FFFF015B"/>
      </bottom>
      <diagonal/>
    </border>
    <border>
      <left style="medium">
        <color rgb="FF33ADFF"/>
      </left>
      <right/>
      <top/>
      <bottom style="medium">
        <color rgb="FF33ADFF"/>
      </bottom>
      <diagonal/>
    </border>
    <border>
      <left/>
      <right/>
      <top/>
      <bottom style="medium">
        <color rgb="FF33ADFF"/>
      </bottom>
      <diagonal/>
    </border>
    <border>
      <left/>
      <right style="medium">
        <color rgb="FF33ADFF"/>
      </right>
      <top/>
      <bottom style="medium">
        <color rgb="FF33ADFF"/>
      </bottom>
      <diagonal/>
    </border>
    <border>
      <left/>
      <right/>
      <top/>
      <bottom/>
      <diagonal/>
    </border>
    <border>
      <left style="medium">
        <color rgb="FFF7981D"/>
      </left>
      <right/>
      <top/>
      <bottom/>
      <diagonal/>
    </border>
    <border>
      <left style="medium">
        <color rgb="FFF7981D"/>
      </left>
      <right/>
      <top/>
      <bottom style="medium">
        <color rgb="FFF7981D"/>
      </bottom>
      <diagonal/>
    </border>
    <border>
      <left/>
      <right/>
      <top/>
      <bottom style="medium">
        <color rgb="FFF7981D"/>
      </bottom>
      <diagonal/>
    </border>
    <border>
      <left/>
      <right/>
      <top/>
      <bottom style="medium">
        <color rgb="FFF7981D"/>
      </bottom>
      <diagonal/>
    </border>
    <border>
      <left/>
      <right style="medium">
        <color rgb="FFF7981D"/>
      </right>
      <top/>
      <bottom style="medium">
        <color rgb="FFF7981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7F7F7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7F7F7F"/>
      </right>
      <top style="medium">
        <color rgb="FFCCCCCC"/>
      </top>
      <bottom style="medium">
        <color rgb="FF7F7F7F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14" fillId="2" borderId="1" xfId="0" applyNumberFormat="1" applyFont="1" applyFill="1" applyBorder="1" applyAlignment="1">
      <alignment horizontal="left" vertical="top"/>
    </xf>
    <xf numFmtId="164" fontId="12" fillId="2" borderId="1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center"/>
    </xf>
    <xf numFmtId="0" fontId="4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27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64" fontId="15" fillId="0" borderId="0" xfId="0" applyNumberFormat="1" applyFont="1"/>
    <xf numFmtId="0" fontId="4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4" borderId="32" xfId="0" applyFont="1" applyFill="1" applyBorder="1" applyAlignment="1">
      <alignment vertical="center"/>
    </xf>
    <xf numFmtId="4" fontId="12" fillId="4" borderId="33" xfId="0" applyNumberFormat="1" applyFont="1" applyFill="1" applyBorder="1" applyAlignment="1">
      <alignment vertical="center"/>
    </xf>
    <xf numFmtId="4" fontId="12" fillId="4" borderId="34" xfId="0" applyNumberFormat="1" applyFont="1" applyFill="1" applyBorder="1" applyAlignment="1">
      <alignment vertical="center"/>
    </xf>
    <xf numFmtId="0" fontId="4" fillId="4" borderId="35" xfId="0" applyFont="1" applyFill="1" applyBorder="1" applyAlignment="1">
      <alignment vertical="center"/>
    </xf>
    <xf numFmtId="0" fontId="12" fillId="0" borderId="36" xfId="0" applyFont="1" applyBorder="1" applyAlignment="1">
      <alignment vertical="center"/>
    </xf>
    <xf numFmtId="164" fontId="12" fillId="2" borderId="1" xfId="0" applyNumberFormat="1" applyFont="1" applyFill="1" applyBorder="1"/>
    <xf numFmtId="4" fontId="12" fillId="0" borderId="37" xfId="0" applyNumberFormat="1" applyFont="1" applyBorder="1" applyAlignment="1">
      <alignment vertical="center"/>
    </xf>
    <xf numFmtId="164" fontId="12" fillId="0" borderId="38" xfId="0" applyNumberFormat="1" applyFont="1" applyBorder="1" applyAlignment="1">
      <alignment vertical="center"/>
    </xf>
    <xf numFmtId="164" fontId="16" fillId="0" borderId="14" xfId="0" applyNumberFormat="1" applyFont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12" fillId="0" borderId="0" xfId="0" applyFont="1"/>
    <xf numFmtId="0" fontId="12" fillId="0" borderId="25" xfId="0" applyFont="1" applyBorder="1"/>
    <xf numFmtId="4" fontId="12" fillId="0" borderId="37" xfId="0" applyNumberFormat="1" applyFont="1" applyBorder="1"/>
    <xf numFmtId="0" fontId="12" fillId="0" borderId="39" xfId="0" applyFont="1" applyBorder="1"/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8" xfId="0" applyFont="1" applyBorder="1"/>
    <xf numFmtId="0" fontId="12" fillId="0" borderId="26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4" fontId="12" fillId="0" borderId="0" xfId="0" applyNumberFormat="1" applyFont="1"/>
    <xf numFmtId="2" fontId="12" fillId="0" borderId="0" xfId="0" applyNumberFormat="1" applyFont="1"/>
    <xf numFmtId="164" fontId="11" fillId="0" borderId="14" xfId="0" applyNumberFormat="1" applyFont="1" applyBorder="1" applyAlignment="1">
      <alignment horizontal="left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right"/>
    </xf>
    <xf numFmtId="4" fontId="12" fillId="2" borderId="1" xfId="0" applyNumberFormat="1" applyFont="1" applyFill="1" applyBorder="1"/>
    <xf numFmtId="164" fontId="14" fillId="2" borderId="40" xfId="0" applyNumberFormat="1" applyFont="1" applyFill="1" applyBorder="1" applyAlignment="1">
      <alignment horizontal="left" vertical="top"/>
    </xf>
    <xf numFmtId="0" fontId="12" fillId="0" borderId="26" xfId="0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7" fillId="0" borderId="0" xfId="0" applyNumberFormat="1" applyFont="1"/>
    <xf numFmtId="164" fontId="14" fillId="2" borderId="41" xfId="0" applyNumberFormat="1" applyFont="1" applyFill="1" applyBorder="1" applyAlignment="1">
      <alignment horizontal="left" vertical="top"/>
    </xf>
    <xf numFmtId="164" fontId="16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4" fillId="2" borderId="41" xfId="0" applyNumberFormat="1" applyFont="1" applyFill="1" applyBorder="1" applyAlignment="1">
      <alignment horizontal="right" vertical="top"/>
    </xf>
    <xf numFmtId="2" fontId="12" fillId="2" borderId="1" xfId="0" applyNumberFormat="1" applyFont="1" applyFill="1" applyBorder="1"/>
    <xf numFmtId="164" fontId="17" fillId="0" borderId="44" xfId="0" applyNumberFormat="1" applyFont="1" applyBorder="1"/>
    <xf numFmtId="164" fontId="18" fillId="2" borderId="1" xfId="0" applyNumberFormat="1" applyFont="1" applyFill="1" applyBorder="1" applyAlignment="1">
      <alignment vertical="top" wrapText="1"/>
    </xf>
    <xf numFmtId="164" fontId="15" fillId="0" borderId="45" xfId="0" applyNumberFormat="1" applyFont="1" applyBorder="1" applyAlignment="1">
      <alignment horizontal="right"/>
    </xf>
    <xf numFmtId="164" fontId="19" fillId="5" borderId="46" xfId="0" applyNumberFormat="1" applyFont="1" applyFill="1" applyBorder="1" applyAlignment="1">
      <alignment horizontal="right"/>
    </xf>
    <xf numFmtId="164" fontId="12" fillId="2" borderId="1" xfId="0" applyNumberFormat="1" applyFont="1" applyFill="1" applyBorder="1" applyAlignment="1">
      <alignment horizontal="right" vertical="top" wrapText="1"/>
    </xf>
    <xf numFmtId="164" fontId="19" fillId="2" borderId="46" xfId="0" applyNumberFormat="1" applyFont="1" applyFill="1" applyBorder="1" applyAlignment="1">
      <alignment horizontal="right"/>
    </xf>
    <xf numFmtId="0" fontId="12" fillId="0" borderId="14" xfId="0" applyFont="1" applyBorder="1"/>
    <xf numFmtId="164" fontId="12" fillId="2" borderId="47" xfId="0" applyNumberFormat="1" applyFont="1" applyFill="1" applyBorder="1" applyAlignment="1">
      <alignment horizontal="right" vertical="top" wrapText="1"/>
    </xf>
    <xf numFmtId="0" fontId="12" fillId="0" borderId="26" xfId="0" applyFont="1" applyBorder="1"/>
    <xf numFmtId="0" fontId="12" fillId="0" borderId="48" xfId="0" applyFont="1" applyBorder="1"/>
    <xf numFmtId="0" fontId="12" fillId="0" borderId="49" xfId="0" applyFont="1" applyBorder="1"/>
    <xf numFmtId="164" fontId="12" fillId="0" borderId="49" xfId="0" applyNumberFormat="1" applyFont="1" applyBorder="1" applyAlignment="1">
      <alignment horizontal="right"/>
    </xf>
    <xf numFmtId="4" fontId="20" fillId="4" borderId="50" xfId="0" applyNumberFormat="1" applyFont="1" applyFill="1" applyBorder="1"/>
    <xf numFmtId="0" fontId="12" fillId="0" borderId="51" xfId="0" applyFont="1" applyBorder="1"/>
    <xf numFmtId="9" fontId="15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4" fontId="15" fillId="0" borderId="52" xfId="0" applyNumberFormat="1" applyFont="1" applyBorder="1" applyAlignment="1">
      <alignment horizontal="right" vertical="center" wrapText="1"/>
    </xf>
    <xf numFmtId="164" fontId="15" fillId="0" borderId="53" xfId="0" applyNumberFormat="1" applyFont="1" applyBorder="1" applyAlignment="1">
      <alignment horizontal="right" vertical="center" wrapText="1"/>
    </xf>
    <xf numFmtId="0" fontId="12" fillId="0" borderId="53" xfId="0" applyFont="1" applyBorder="1"/>
    <xf numFmtId="0" fontId="12" fillId="0" borderId="54" xfId="0" applyFont="1" applyBorder="1"/>
    <xf numFmtId="0" fontId="12" fillId="0" borderId="57" xfId="0" applyFont="1" applyBorder="1"/>
    <xf numFmtId="0" fontId="12" fillId="0" borderId="55" xfId="0" applyFont="1" applyBorder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12" fillId="0" borderId="59" xfId="0" applyFont="1" applyBorder="1"/>
    <xf numFmtId="0" fontId="12" fillId="0" borderId="60" xfId="0" applyFont="1" applyBorder="1"/>
    <xf numFmtId="0" fontId="12" fillId="0" borderId="61" xfId="0" applyFont="1" applyBorder="1"/>
    <xf numFmtId="0" fontId="17" fillId="0" borderId="0" xfId="0" applyFont="1"/>
    <xf numFmtId="0" fontId="15" fillId="0" borderId="0" xfId="0" applyFont="1" applyAlignment="1">
      <alignment horizontal="right"/>
    </xf>
    <xf numFmtId="0" fontId="12" fillId="0" borderId="67" xfId="0" applyFont="1" applyBorder="1"/>
    <xf numFmtId="0" fontId="15" fillId="7" borderId="1" xfId="0" applyFont="1" applyFill="1" applyBorder="1" applyAlignment="1">
      <alignment horizontal="right"/>
    </xf>
    <xf numFmtId="0" fontId="15" fillId="0" borderId="0" xfId="0" applyFont="1"/>
    <xf numFmtId="0" fontId="6" fillId="0" borderId="0" xfId="0" applyFont="1"/>
    <xf numFmtId="4" fontId="12" fillId="0" borderId="38" xfId="0" applyNumberFormat="1" applyFont="1" applyBorder="1"/>
    <xf numFmtId="0" fontId="15" fillId="0" borderId="68" xfId="0" applyFont="1" applyBorder="1" applyAlignment="1">
      <alignment vertical="center"/>
    </xf>
    <xf numFmtId="4" fontId="15" fillId="0" borderId="68" xfId="0" applyNumberFormat="1" applyFont="1" applyBorder="1" applyAlignment="1">
      <alignment horizontal="right" wrapText="1"/>
    </xf>
    <xf numFmtId="0" fontId="15" fillId="0" borderId="68" xfId="0" applyFont="1" applyBorder="1" applyAlignment="1">
      <alignment wrapText="1"/>
    </xf>
    <xf numFmtId="0" fontId="15" fillId="0" borderId="68" xfId="0" applyFont="1" applyBorder="1" applyAlignment="1">
      <alignment horizontal="right" wrapText="1"/>
    </xf>
    <xf numFmtId="0" fontId="15" fillId="0" borderId="69" xfId="0" applyFont="1" applyBorder="1" applyAlignment="1">
      <alignment horizontal="right" wrapText="1"/>
    </xf>
    <xf numFmtId="4" fontId="19" fillId="5" borderId="70" xfId="0" applyNumberFormat="1" applyFont="1" applyFill="1" applyBorder="1" applyAlignment="1">
      <alignment horizontal="right" wrapText="1"/>
    </xf>
    <xf numFmtId="0" fontId="22" fillId="0" borderId="0" xfId="0" applyFont="1"/>
    <xf numFmtId="4" fontId="22" fillId="0" borderId="0" xfId="0" applyNumberFormat="1" applyFont="1"/>
    <xf numFmtId="4" fontId="19" fillId="2" borderId="71" xfId="0" applyNumberFormat="1" applyFont="1" applyFill="1" applyBorder="1" applyAlignment="1">
      <alignment horizontal="right" wrapText="1"/>
    </xf>
    <xf numFmtId="164" fontId="0" fillId="0" borderId="0" xfId="0" applyNumberFormat="1" applyFont="1"/>
    <xf numFmtId="164" fontId="12" fillId="2" borderId="15" xfId="0" applyNumberFormat="1" applyFont="1" applyFill="1" applyBorder="1" applyAlignment="1">
      <alignment horizontal="left" vertical="top"/>
    </xf>
    <xf numFmtId="0" fontId="2" fillId="0" borderId="16" xfId="0" applyFont="1" applyBorder="1"/>
    <xf numFmtId="4" fontId="12" fillId="0" borderId="15" xfId="0" applyNumberFormat="1" applyFont="1" applyBorder="1"/>
    <xf numFmtId="0" fontId="21" fillId="0" borderId="0" xfId="0" applyFont="1" applyAlignment="1">
      <alignment horizontal="left" vertical="center"/>
    </xf>
    <xf numFmtId="0" fontId="0" fillId="0" borderId="0" xfId="0" applyFont="1" applyAlignment="1"/>
    <xf numFmtId="164" fontId="12" fillId="0" borderId="55" xfId="0" applyNumberFormat="1" applyFont="1" applyBorder="1" applyAlignment="1">
      <alignment horizontal="right" vertical="center" wrapText="1"/>
    </xf>
    <xf numFmtId="0" fontId="2" fillId="0" borderId="55" xfId="0" applyFont="1" applyBorder="1"/>
    <xf numFmtId="0" fontId="12" fillId="0" borderId="56" xfId="0" applyFont="1" applyBorder="1" applyAlignment="1">
      <alignment vertical="center"/>
    </xf>
    <xf numFmtId="0" fontId="2" fillId="0" borderId="58" xfId="0" applyFont="1" applyBorder="1"/>
    <xf numFmtId="164" fontId="12" fillId="0" borderId="55" xfId="0" applyNumberFormat="1" applyFont="1" applyBorder="1" applyAlignment="1">
      <alignment horizontal="right" wrapText="1"/>
    </xf>
    <xf numFmtId="2" fontId="12" fillId="0" borderId="0" xfId="0" applyNumberFormat="1" applyFont="1" applyAlignment="1">
      <alignment vertical="center"/>
    </xf>
    <xf numFmtId="0" fontId="20" fillId="0" borderId="55" xfId="0" applyFont="1" applyBorder="1" applyAlignment="1">
      <alignment horizontal="right" vertical="center"/>
    </xf>
    <xf numFmtId="4" fontId="20" fillId="6" borderId="2" xfId="0" applyNumberFormat="1" applyFont="1" applyFill="1" applyBorder="1" applyAlignment="1">
      <alignment vertical="center"/>
    </xf>
    <xf numFmtId="0" fontId="2" fillId="0" borderId="62" xfId="0" applyFont="1" applyBorder="1"/>
    <xf numFmtId="0" fontId="12" fillId="2" borderId="63" xfId="0" applyFont="1" applyFill="1" applyBorder="1" applyAlignment="1">
      <alignment horizontal="right" wrapText="1"/>
    </xf>
    <xf numFmtId="0" fontId="2" fillId="0" borderId="23" xfId="0" applyFont="1" applyBorder="1"/>
    <xf numFmtId="0" fontId="2" fillId="0" borderId="24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/>
    <xf numFmtId="0" fontId="1" fillId="2" borderId="2" xfId="0" applyFont="1" applyFill="1" applyBorder="1"/>
    <xf numFmtId="0" fontId="2" fillId="0" borderId="6" xfId="0" applyFont="1" applyBorder="1"/>
    <xf numFmtId="0" fontId="23" fillId="8" borderId="3" xfId="0" applyFont="1" applyFill="1" applyBorder="1"/>
    <xf numFmtId="0" fontId="24" fillId="9" borderId="4" xfId="0" applyFont="1" applyFill="1" applyBorder="1"/>
    <xf numFmtId="0" fontId="24" fillId="9" borderId="5" xfId="0" applyFont="1" applyFill="1" applyBorder="1"/>
    <xf numFmtId="0" fontId="1" fillId="0" borderId="0" xfId="0" applyFont="1" applyAlignment="1">
      <alignment horizontal="right"/>
    </xf>
    <xf numFmtId="0" fontId="3" fillId="2" borderId="3" xfId="0" applyFont="1" applyFill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4" fillId="2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1" fillId="0" borderId="14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 vertical="center"/>
    </xf>
    <xf numFmtId="164" fontId="14" fillId="2" borderId="22" xfId="0" applyNumberFormat="1" applyFont="1" applyFill="1" applyBorder="1" applyAlignment="1">
      <alignment horizontal="right" vertical="top" wrapText="1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164" fontId="12" fillId="0" borderId="15" xfId="0" applyNumberFormat="1" applyFont="1" applyBorder="1" applyAlignment="1">
      <alignment horizontal="left"/>
    </xf>
    <xf numFmtId="164" fontId="12" fillId="0" borderId="15" xfId="0" applyNumberFormat="1" applyFont="1" applyBorder="1" applyAlignment="1">
      <alignment horizontal="right"/>
    </xf>
    <xf numFmtId="164" fontId="14" fillId="2" borderId="42" xfId="0" applyNumberFormat="1" applyFont="1" applyFill="1" applyBorder="1" applyAlignment="1">
      <alignment horizontal="right" vertical="top" wrapText="1"/>
    </xf>
    <xf numFmtId="0" fontId="2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15B"/>
    <outlinePr summaryBelow="0" summaryRight="0"/>
  </sheetPr>
  <dimension ref="A1:AC1000"/>
  <sheetViews>
    <sheetView showGridLines="0" tabSelected="1" topLeftCell="A55" workbookViewId="0">
      <selection activeCell="C15" sqref="C15"/>
    </sheetView>
  </sheetViews>
  <sheetFormatPr defaultColWidth="14.42578125" defaultRowHeight="15" customHeight="1" x14ac:dyDescent="0.2"/>
  <cols>
    <col min="1" max="1" width="2.42578125" customWidth="1"/>
    <col min="2" max="2" width="1.42578125" customWidth="1"/>
    <col min="3" max="3" width="16" customWidth="1"/>
    <col min="4" max="4" width="20.42578125" customWidth="1"/>
    <col min="5" max="5" width="14.42578125" customWidth="1"/>
    <col min="6" max="6" width="1.28515625" customWidth="1"/>
    <col min="7" max="7" width="11.5703125" customWidth="1"/>
    <col min="8" max="8" width="16" customWidth="1"/>
    <col min="9" max="9" width="1.7109375" customWidth="1"/>
    <col min="10" max="10" width="3.7109375" customWidth="1"/>
    <col min="11" max="11" width="14" customWidth="1"/>
    <col min="12" max="12" width="15.7109375" customWidth="1"/>
    <col min="13" max="13" width="20.140625" customWidth="1"/>
    <col min="14" max="14" width="13" customWidth="1"/>
    <col min="15" max="15" width="1.28515625" customWidth="1"/>
    <col min="16" max="17" width="4.85546875" customWidth="1"/>
    <col min="18" max="18" width="0.42578125" customWidth="1"/>
    <col min="19" max="19" width="4.5703125" customWidth="1"/>
    <col min="20" max="20" width="8.140625" hidden="1" customWidth="1"/>
    <col min="21" max="21" width="14.42578125" hidden="1"/>
    <col min="22" max="22" width="4.42578125" hidden="1" customWidth="1"/>
    <col min="23" max="23" width="20.42578125" hidden="1" customWidth="1"/>
    <col min="24" max="29" width="14.42578125" hidden="1"/>
  </cols>
  <sheetData>
    <row r="1" spans="1:29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3"/>
      <c r="S1" s="3"/>
      <c r="T1" s="3"/>
    </row>
    <row r="2" spans="1:29" ht="46.5" customHeight="1" x14ac:dyDescent="0.7">
      <c r="A2" s="150"/>
      <c r="B2" s="152" t="s">
        <v>90</v>
      </c>
      <c r="C2" s="153"/>
      <c r="D2" s="153"/>
      <c r="E2" s="154"/>
      <c r="F2" s="1"/>
      <c r="G2" s="1"/>
      <c r="H2" s="1"/>
      <c r="I2" s="4"/>
      <c r="J2" s="155"/>
      <c r="K2" s="134"/>
      <c r="L2" s="134"/>
      <c r="M2" s="134"/>
      <c r="N2" s="134"/>
      <c r="O2" s="134"/>
      <c r="P2" s="134"/>
      <c r="Q2" s="4"/>
      <c r="R2" s="4"/>
      <c r="S2" s="4"/>
      <c r="T2" s="4"/>
    </row>
    <row r="3" spans="1:29" ht="9" customHeight="1" x14ac:dyDescent="0.5">
      <c r="A3" s="151"/>
      <c r="B3" s="5"/>
      <c r="C3" s="5"/>
      <c r="D3" s="5"/>
      <c r="E3" s="5"/>
      <c r="F3" s="5"/>
      <c r="G3" s="5"/>
      <c r="H3" s="5"/>
      <c r="I3" s="4"/>
      <c r="J3" s="134"/>
      <c r="K3" s="134"/>
      <c r="L3" s="134"/>
      <c r="M3" s="134"/>
      <c r="N3" s="134"/>
      <c r="O3" s="134"/>
      <c r="P3" s="134"/>
      <c r="Q3" s="4"/>
      <c r="R3" s="4"/>
      <c r="S3" s="4"/>
      <c r="T3" s="4"/>
    </row>
    <row r="4" spans="1:29" ht="35.25" customHeight="1" x14ac:dyDescent="0.2">
      <c r="A4" s="151"/>
      <c r="B4" s="156" t="s">
        <v>0</v>
      </c>
      <c r="C4" s="157"/>
      <c r="D4" s="157"/>
      <c r="E4" s="157"/>
      <c r="F4" s="157"/>
      <c r="G4" s="157"/>
      <c r="H4" s="158"/>
      <c r="I4" s="4"/>
      <c r="J4" s="134"/>
      <c r="K4" s="134"/>
      <c r="L4" s="134"/>
      <c r="M4" s="134"/>
      <c r="N4" s="134"/>
      <c r="O4" s="134"/>
      <c r="P4" s="134"/>
      <c r="Q4" s="4"/>
      <c r="R4" s="4"/>
      <c r="S4" s="4"/>
      <c r="T4" s="4"/>
    </row>
    <row r="5" spans="1:29" ht="28.5" customHeight="1" x14ac:dyDescent="0.2">
      <c r="A5" s="151"/>
      <c r="B5" s="159" t="s">
        <v>1</v>
      </c>
      <c r="C5" s="157"/>
      <c r="D5" s="157"/>
      <c r="E5" s="157"/>
      <c r="F5" s="157"/>
      <c r="G5" s="158"/>
      <c r="H5" s="6"/>
      <c r="I5" s="4"/>
      <c r="J5" s="134"/>
      <c r="K5" s="134"/>
      <c r="L5" s="134"/>
      <c r="M5" s="134"/>
      <c r="N5" s="134"/>
      <c r="O5" s="134"/>
      <c r="P5" s="134"/>
      <c r="Q5" s="4"/>
      <c r="R5" s="4"/>
      <c r="S5" s="4"/>
      <c r="T5" s="4"/>
    </row>
    <row r="6" spans="1:29" ht="9.75" customHeight="1" x14ac:dyDescent="0.2">
      <c r="A6" s="151"/>
      <c r="B6" s="6"/>
      <c r="C6" s="6"/>
      <c r="D6" s="6"/>
      <c r="E6" s="6"/>
      <c r="F6" s="6"/>
      <c r="G6" s="6"/>
      <c r="H6" s="6"/>
      <c r="I6" s="4"/>
      <c r="J6" s="4"/>
      <c r="K6" s="4"/>
      <c r="L6" s="4"/>
      <c r="M6" s="4"/>
      <c r="N6" s="7"/>
      <c r="O6" s="4"/>
      <c r="P6" s="4"/>
      <c r="Q6" s="4"/>
      <c r="R6" s="4"/>
      <c r="S6" s="4"/>
      <c r="T6" s="4"/>
    </row>
    <row r="7" spans="1:29" ht="9" customHeight="1" x14ac:dyDescent="0.2">
      <c r="A7" s="151"/>
      <c r="B7" s="8"/>
      <c r="C7" s="8"/>
      <c r="D7" s="9"/>
      <c r="E7" s="10"/>
      <c r="F7" s="8"/>
      <c r="G7" s="8"/>
      <c r="H7" s="10"/>
      <c r="I7" s="10"/>
      <c r="J7" s="10"/>
      <c r="K7" s="11"/>
      <c r="L7" s="12"/>
      <c r="M7" s="13"/>
      <c r="N7" s="13"/>
      <c r="O7" s="14"/>
      <c r="P7" s="14"/>
      <c r="Q7" s="14"/>
      <c r="R7" s="14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ht="24" customHeight="1" x14ac:dyDescent="0.2">
      <c r="A8" s="151"/>
      <c r="B8" s="16" t="s">
        <v>2</v>
      </c>
      <c r="C8" s="16"/>
      <c r="D8" s="17"/>
      <c r="E8" s="18"/>
      <c r="F8" s="19"/>
      <c r="G8" s="19"/>
      <c r="H8" s="18"/>
      <c r="I8" s="18"/>
      <c r="J8" s="18"/>
      <c r="K8" s="20"/>
      <c r="L8" s="21"/>
      <c r="M8" s="13"/>
      <c r="N8" s="13"/>
      <c r="O8" s="14"/>
      <c r="P8" s="14"/>
      <c r="Q8" s="14"/>
      <c r="R8" s="14"/>
      <c r="S8" s="14"/>
      <c r="T8" s="15"/>
      <c r="U8" s="15" t="s">
        <v>3</v>
      </c>
      <c r="V8" s="15"/>
      <c r="W8" s="15"/>
      <c r="X8" s="15"/>
      <c r="Y8" s="15"/>
      <c r="Z8" s="15"/>
      <c r="AA8" s="15"/>
      <c r="AB8" s="15"/>
      <c r="AC8" s="15"/>
    </row>
    <row r="9" spans="1:29" ht="15.75" customHeight="1" x14ac:dyDescent="0.2">
      <c r="A9" s="151"/>
      <c r="B9" s="19"/>
      <c r="C9" s="19"/>
      <c r="D9" s="17"/>
      <c r="E9" s="18"/>
      <c r="F9" s="19"/>
      <c r="G9" s="19"/>
      <c r="H9" s="18"/>
      <c r="I9" s="18"/>
      <c r="J9" s="18"/>
      <c r="K9" s="20"/>
      <c r="L9" s="12"/>
      <c r="M9" s="13"/>
      <c r="N9" s="13"/>
      <c r="O9" s="14"/>
      <c r="P9" s="14"/>
      <c r="Q9" s="14"/>
      <c r="R9" s="14"/>
      <c r="S9" s="14"/>
      <c r="T9" s="15"/>
      <c r="U9" s="15" t="s">
        <v>4</v>
      </c>
      <c r="V9" s="15"/>
      <c r="W9" s="15"/>
      <c r="X9" s="15"/>
      <c r="Y9" s="15"/>
      <c r="Z9" s="15"/>
      <c r="AA9" s="15"/>
      <c r="AB9" s="15"/>
      <c r="AC9" s="15"/>
    </row>
    <row r="10" spans="1:29" ht="30.75" customHeight="1" x14ac:dyDescent="0.2">
      <c r="A10" s="151"/>
      <c r="B10" s="160" t="s">
        <v>91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22"/>
      <c r="P10" s="22"/>
      <c r="Q10" s="22"/>
      <c r="R10" s="22"/>
      <c r="S10" s="22"/>
      <c r="T10" s="22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21" customHeight="1" x14ac:dyDescent="0.2">
      <c r="A11" s="15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9.5" customHeight="1" x14ac:dyDescent="0.2">
      <c r="A12" s="151"/>
      <c r="B12" s="16" t="s">
        <v>5</v>
      </c>
      <c r="C12" s="16"/>
      <c r="D12" s="16"/>
      <c r="E12" s="16"/>
      <c r="F12" s="16"/>
      <c r="G12" s="16"/>
      <c r="H12" s="23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21.75" customHeight="1" x14ac:dyDescent="0.2">
      <c r="A13" s="151"/>
      <c r="B13" s="24"/>
      <c r="C13" s="2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9" ht="18.75" x14ac:dyDescent="0.2">
      <c r="A14" s="151"/>
      <c r="B14" s="162" t="s">
        <v>6</v>
      </c>
      <c r="C14" s="134"/>
      <c r="D14" s="134"/>
      <c r="E14" s="134"/>
      <c r="F14" s="22"/>
      <c r="G14" s="22"/>
      <c r="H14" s="22"/>
      <c r="I14" s="22"/>
      <c r="J14" s="22"/>
      <c r="K14" s="161" t="s">
        <v>7</v>
      </c>
      <c r="L14" s="134"/>
      <c r="M14" s="134"/>
      <c r="N14" s="134"/>
      <c r="O14" s="22"/>
      <c r="P14" s="22"/>
      <c r="Q14" s="22"/>
      <c r="R14" s="22"/>
      <c r="S14" s="22"/>
      <c r="T14" s="22"/>
    </row>
    <row r="15" spans="1:29" ht="9" customHeight="1" x14ac:dyDescent="0.2">
      <c r="A15" s="151"/>
      <c r="B15" s="24"/>
      <c r="C15" s="2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9" ht="12.75" x14ac:dyDescent="0.2">
      <c r="A16" s="151"/>
      <c r="B16" s="25"/>
      <c r="C16" s="26"/>
      <c r="D16" s="27"/>
      <c r="E16" s="27"/>
      <c r="F16" s="27"/>
      <c r="G16" s="27"/>
      <c r="H16" s="27"/>
      <c r="I16" s="28"/>
      <c r="J16" s="22"/>
      <c r="K16" s="29"/>
      <c r="L16" s="30"/>
      <c r="M16" s="31"/>
      <c r="N16" s="31"/>
      <c r="O16" s="32"/>
      <c r="P16" s="22"/>
      <c r="Q16" s="22"/>
      <c r="R16" s="22"/>
      <c r="S16" s="22"/>
      <c r="T16" s="22"/>
    </row>
    <row r="17" spans="1:28" ht="15.75" customHeight="1" x14ac:dyDescent="0.25">
      <c r="A17" s="151"/>
      <c r="B17" s="163" t="s">
        <v>8</v>
      </c>
      <c r="C17" s="134"/>
      <c r="D17" s="134"/>
      <c r="E17" s="134"/>
      <c r="F17" s="24"/>
      <c r="G17" s="164" t="s">
        <v>4</v>
      </c>
      <c r="H17" s="131"/>
      <c r="I17" s="33"/>
      <c r="J17" s="24"/>
      <c r="K17" s="34" t="s">
        <v>9</v>
      </c>
      <c r="L17" s="35"/>
      <c r="M17" s="36" t="s">
        <v>10</v>
      </c>
      <c r="N17" s="36" t="s">
        <v>11</v>
      </c>
      <c r="O17" s="37"/>
      <c r="P17" s="22"/>
      <c r="Q17" s="22"/>
      <c r="R17" s="22"/>
      <c r="S17" s="22"/>
      <c r="T17" s="22"/>
    </row>
    <row r="18" spans="1:28" ht="16.5" customHeight="1" x14ac:dyDescent="0.25">
      <c r="A18" s="151"/>
      <c r="B18" s="165" t="s">
        <v>12</v>
      </c>
      <c r="C18" s="145"/>
      <c r="D18" s="145"/>
      <c r="E18" s="146"/>
      <c r="F18" s="38"/>
      <c r="G18" s="39"/>
      <c r="H18" s="40"/>
      <c r="I18" s="41"/>
      <c r="J18" s="22"/>
      <c r="K18" s="42"/>
      <c r="L18" s="43">
        <f>M18</f>
        <v>22000</v>
      </c>
      <c r="M18" s="44">
        <f>G24+G30+G35+G40+G43</f>
        <v>22000</v>
      </c>
      <c r="N18" s="40"/>
      <c r="O18" s="45"/>
      <c r="P18" s="22"/>
      <c r="Q18" s="22"/>
      <c r="R18" s="22"/>
      <c r="S18" s="22"/>
      <c r="T18" s="22"/>
      <c r="W18" s="46" t="s">
        <v>13</v>
      </c>
    </row>
    <row r="19" spans="1:28" ht="18" customHeight="1" x14ac:dyDescent="0.25">
      <c r="A19" s="151"/>
      <c r="B19" s="166"/>
      <c r="C19" s="167"/>
      <c r="D19" s="167"/>
      <c r="E19" s="168"/>
      <c r="F19" s="22"/>
      <c r="G19" s="40"/>
      <c r="H19" s="40"/>
      <c r="I19" s="41"/>
      <c r="J19" s="22"/>
      <c r="K19" s="42"/>
      <c r="L19" s="43">
        <f>N19</f>
        <v>0</v>
      </c>
      <c r="M19" s="44"/>
      <c r="N19" s="43">
        <f>G52+G53</f>
        <v>0</v>
      </c>
      <c r="O19" s="45"/>
      <c r="P19" s="22"/>
      <c r="Q19" s="22"/>
      <c r="R19" s="22"/>
      <c r="S19" s="22"/>
      <c r="T19" s="22"/>
      <c r="W19" s="46" t="s">
        <v>14</v>
      </c>
    </row>
    <row r="20" spans="1:28" ht="14.25" customHeight="1" x14ac:dyDescent="0.25">
      <c r="A20" s="151"/>
      <c r="B20" s="47"/>
      <c r="C20" s="48"/>
      <c r="D20" s="48"/>
      <c r="E20" s="48"/>
      <c r="F20" s="22"/>
      <c r="G20" s="40"/>
      <c r="H20" s="40"/>
      <c r="I20" s="41"/>
      <c r="J20" s="49"/>
      <c r="K20" s="50" t="s">
        <v>15</v>
      </c>
      <c r="L20" s="51">
        <f t="shared" ref="L20:N20" si="0">L18+L19</f>
        <v>22000</v>
      </c>
      <c r="M20" s="52">
        <f t="shared" si="0"/>
        <v>22000</v>
      </c>
      <c r="N20" s="51">
        <f t="shared" si="0"/>
        <v>0</v>
      </c>
      <c r="O20" s="53"/>
      <c r="P20" s="22"/>
      <c r="Q20" s="22"/>
      <c r="R20" s="22"/>
      <c r="S20" s="22"/>
      <c r="T20" s="22"/>
      <c r="W20" s="46" t="s">
        <v>4</v>
      </c>
    </row>
    <row r="21" spans="1:28" ht="15.75" customHeight="1" x14ac:dyDescent="0.25">
      <c r="A21" s="151"/>
      <c r="B21" s="163" t="s">
        <v>16</v>
      </c>
      <c r="C21" s="134"/>
      <c r="D21" s="134"/>
      <c r="E21" s="134"/>
      <c r="F21" s="22"/>
      <c r="G21" s="164" t="s">
        <v>4</v>
      </c>
      <c r="H21" s="131"/>
      <c r="I21" s="41"/>
      <c r="J21" s="22"/>
      <c r="K21" s="54" t="s">
        <v>17</v>
      </c>
      <c r="L21" s="55">
        <f>IF(X38&lt;L20,(IF(IF(AA32&gt;100000,AA42-(ROUND((AA32-100000)/2,0)),AA42)&lt;0,0,IF(AA32&gt;100000,AA42-(ROUND((AA32-100000)/2,0)),AA42))),X38)</f>
        <v>12500</v>
      </c>
      <c r="M21" s="56">
        <f>IF((M20&lt;=L21),M20,L21)</f>
        <v>12500</v>
      </c>
      <c r="N21" s="57">
        <f>L21-M21</f>
        <v>0</v>
      </c>
      <c r="O21" s="45"/>
      <c r="P21" s="22"/>
      <c r="Q21" s="22"/>
      <c r="R21" s="22"/>
      <c r="S21" s="22"/>
      <c r="T21" s="22"/>
      <c r="W21" s="46"/>
    </row>
    <row r="22" spans="1:28" ht="15.75" customHeight="1" x14ac:dyDescent="0.25">
      <c r="A22" s="151"/>
      <c r="B22" s="58"/>
      <c r="C22" s="59"/>
      <c r="D22" s="59"/>
      <c r="E22" s="59"/>
      <c r="F22" s="60"/>
      <c r="G22" s="60"/>
      <c r="H22" s="60"/>
      <c r="I22" s="61"/>
      <c r="J22" s="60"/>
      <c r="K22" s="54" t="s">
        <v>18</v>
      </c>
      <c r="L22" s="62">
        <f>IF((L20-L21)&lt;0,0,(L20-L21))</f>
        <v>9500</v>
      </c>
      <c r="M22" s="62">
        <f>M20-M21</f>
        <v>9500</v>
      </c>
      <c r="N22" s="62">
        <f>IF((N20-N21)&lt;0,0,N20-N21)</f>
        <v>0</v>
      </c>
      <c r="O22" s="63"/>
      <c r="P22" s="60"/>
      <c r="Q22" s="60"/>
      <c r="R22" s="60"/>
      <c r="S22" s="60"/>
      <c r="T22" s="60"/>
      <c r="W22" s="46" t="s">
        <v>19</v>
      </c>
    </row>
    <row r="23" spans="1:28" ht="15.75" customHeight="1" x14ac:dyDescent="0.25">
      <c r="A23" s="151"/>
      <c r="B23" s="64"/>
      <c r="C23" s="65"/>
      <c r="D23" s="60"/>
      <c r="E23" s="60"/>
      <c r="F23" s="60"/>
      <c r="G23" s="60"/>
      <c r="H23" s="60"/>
      <c r="I23" s="61"/>
      <c r="J23" s="60"/>
      <c r="K23" s="42"/>
      <c r="L23" s="60"/>
      <c r="M23" s="60"/>
      <c r="N23" s="60"/>
      <c r="O23" s="66"/>
      <c r="P23" s="60"/>
      <c r="Q23" s="60"/>
      <c r="R23" s="60"/>
      <c r="S23" s="60"/>
      <c r="T23" s="60"/>
      <c r="W23" s="46" t="s">
        <v>4</v>
      </c>
    </row>
    <row r="24" spans="1:28" ht="15.75" customHeight="1" x14ac:dyDescent="0.25">
      <c r="A24" s="151"/>
      <c r="B24" s="163" t="s">
        <v>20</v>
      </c>
      <c r="C24" s="134"/>
      <c r="D24" s="134"/>
      <c r="E24" s="134"/>
      <c r="F24" s="60"/>
      <c r="G24" s="169">
        <v>22000</v>
      </c>
      <c r="H24" s="131"/>
      <c r="I24" s="61"/>
      <c r="J24" s="60"/>
      <c r="K24" s="67"/>
      <c r="L24" s="68" t="s">
        <v>21</v>
      </c>
      <c r="M24" s="69">
        <f>IF(G35&lt;(AA54+AA55),(IF(M22&lt;G35,(M22),G35)),(IF(M22&lt;=(AA54+AA55),AA54+AA55,(IF(M22&gt;(AA54+AA55),AA54+AA55,M22)))))</f>
        <v>0</v>
      </c>
      <c r="N24" s="60"/>
      <c r="O24" s="66"/>
      <c r="P24" s="60"/>
      <c r="Q24" s="60"/>
      <c r="R24" s="60"/>
      <c r="S24" s="60"/>
      <c r="T24" s="60"/>
    </row>
    <row r="25" spans="1:28" ht="18.75" customHeight="1" x14ac:dyDescent="0.25">
      <c r="A25" s="151"/>
      <c r="B25" s="64"/>
      <c r="C25" s="65"/>
      <c r="D25" s="60"/>
      <c r="E25" s="60"/>
      <c r="F25" s="60"/>
      <c r="G25" s="60"/>
      <c r="H25" s="60"/>
      <c r="I25" s="61"/>
      <c r="J25" s="60"/>
      <c r="K25" s="67"/>
      <c r="L25" s="68" t="s">
        <v>22</v>
      </c>
      <c r="M25" s="70">
        <f>IF(M22&lt;=AA43-M24,M22-M24,AA43-M24)</f>
        <v>9500</v>
      </c>
      <c r="N25" s="71">
        <f>ROUND(M25*0.2,2)</f>
        <v>1900</v>
      </c>
      <c r="O25" s="66"/>
      <c r="P25" s="60"/>
      <c r="Q25" s="60"/>
      <c r="R25" s="60"/>
      <c r="S25" s="60"/>
      <c r="T25" s="60"/>
    </row>
    <row r="26" spans="1:28" ht="15.75" customHeight="1" x14ac:dyDescent="0.25">
      <c r="A26" s="151"/>
      <c r="B26" s="72"/>
      <c r="C26" s="73"/>
      <c r="D26" s="73"/>
      <c r="E26" s="74" t="s">
        <v>23</v>
      </c>
      <c r="F26" s="59"/>
      <c r="G26" s="169"/>
      <c r="H26" s="131"/>
      <c r="I26" s="61"/>
      <c r="J26" s="60"/>
      <c r="K26" s="67"/>
      <c r="L26" s="68" t="s">
        <v>24</v>
      </c>
      <c r="M26" s="75">
        <f>IF((M22-M25-M24)&lt;(X40-X39),(M22-M25-M24),(X40-X39))</f>
        <v>0</v>
      </c>
      <c r="N26" s="71">
        <f>ROUND(M26*0.4,2)</f>
        <v>0</v>
      </c>
      <c r="O26" s="66"/>
      <c r="P26" s="60"/>
      <c r="Q26" s="60"/>
      <c r="R26" s="60"/>
      <c r="S26" s="60"/>
      <c r="T26" s="60"/>
    </row>
    <row r="27" spans="1:28" ht="16.5" customHeight="1" x14ac:dyDescent="0.25">
      <c r="A27" s="151"/>
      <c r="B27" s="165" t="s">
        <v>25</v>
      </c>
      <c r="C27" s="145"/>
      <c r="D27" s="145"/>
      <c r="E27" s="146"/>
      <c r="F27" s="38"/>
      <c r="G27" s="39"/>
      <c r="H27" s="39"/>
      <c r="I27" s="76"/>
      <c r="J27" s="38"/>
      <c r="K27" s="67"/>
      <c r="L27" s="68" t="s">
        <v>26</v>
      </c>
      <c r="M27" s="70">
        <f>M22-M26-M25-M24</f>
        <v>0</v>
      </c>
      <c r="N27" s="71">
        <f>ROUND(M27*0.45,2)</f>
        <v>0</v>
      </c>
      <c r="O27" s="66"/>
      <c r="P27" s="60"/>
      <c r="Q27" s="60"/>
      <c r="R27" s="60"/>
      <c r="S27" s="60"/>
      <c r="T27" s="60"/>
    </row>
    <row r="28" spans="1:28" ht="15.75" customHeight="1" x14ac:dyDescent="0.25">
      <c r="A28" s="151"/>
      <c r="B28" s="166"/>
      <c r="C28" s="167"/>
      <c r="D28" s="167"/>
      <c r="E28" s="168"/>
      <c r="F28" s="60"/>
      <c r="G28" s="60"/>
      <c r="H28" s="60"/>
      <c r="I28" s="61"/>
      <c r="J28" s="60"/>
      <c r="K28" s="77"/>
      <c r="L28" s="68"/>
      <c r="M28" s="60"/>
      <c r="N28" s="60"/>
      <c r="O28" s="66"/>
      <c r="P28" s="60"/>
      <c r="Q28" s="60"/>
      <c r="R28" s="60"/>
      <c r="S28" s="60"/>
      <c r="T28" s="60"/>
    </row>
    <row r="29" spans="1:28" ht="15.75" customHeight="1" x14ac:dyDescent="0.25">
      <c r="A29" s="151"/>
      <c r="B29" s="58"/>
      <c r="C29" s="59"/>
      <c r="D29" s="59"/>
      <c r="E29" s="59"/>
      <c r="F29" s="60"/>
      <c r="G29" s="60"/>
      <c r="H29" s="60"/>
      <c r="I29" s="61"/>
      <c r="J29" s="60"/>
      <c r="K29" s="77"/>
      <c r="L29" s="78" t="s">
        <v>27</v>
      </c>
      <c r="M29" s="70">
        <f>IF(N22&gt;AA56,AA56,N22)</f>
        <v>0</v>
      </c>
      <c r="N29" s="71">
        <f>M29*0</f>
        <v>0</v>
      </c>
      <c r="O29" s="66"/>
      <c r="P29" s="60"/>
      <c r="Q29" s="60"/>
      <c r="R29" s="60"/>
      <c r="S29" s="60"/>
      <c r="T29" s="60"/>
      <c r="W29" s="79"/>
      <c r="X29" s="79"/>
      <c r="Y29" s="79"/>
      <c r="Z29" s="79"/>
      <c r="AA29" s="79"/>
      <c r="AB29" s="79"/>
    </row>
    <row r="30" spans="1:28" ht="19.5" customHeight="1" x14ac:dyDescent="0.25">
      <c r="A30" s="151"/>
      <c r="B30" s="80"/>
      <c r="C30" s="38"/>
      <c r="D30" s="38"/>
      <c r="E30" s="74" t="s">
        <v>28</v>
      </c>
      <c r="F30" s="81"/>
      <c r="G30" s="170"/>
      <c r="H30" s="131"/>
      <c r="I30" s="61"/>
      <c r="J30" s="60"/>
      <c r="K30" s="77"/>
      <c r="L30" s="78" t="s">
        <v>29</v>
      </c>
      <c r="M30" s="82">
        <f>IF((N22-M29)&gt;AA45,AA45,N22-M29)</f>
        <v>0</v>
      </c>
      <c r="N30" s="60">
        <f>ROUND(M30*7.5%,2)</f>
        <v>0</v>
      </c>
      <c r="O30" s="66"/>
      <c r="P30" s="60"/>
      <c r="Q30" s="60"/>
      <c r="R30" s="60"/>
      <c r="S30" s="60"/>
      <c r="T30" s="60"/>
      <c r="W30" s="79"/>
      <c r="X30" s="79"/>
      <c r="Y30" s="79"/>
      <c r="Z30" s="83" t="s">
        <v>30</v>
      </c>
      <c r="AA30" s="83">
        <f>G46/0.8</f>
        <v>0</v>
      </c>
      <c r="AB30" s="79"/>
    </row>
    <row r="31" spans="1:28" ht="15.75" customHeight="1" x14ac:dyDescent="0.25">
      <c r="A31" s="151"/>
      <c r="B31" s="84"/>
      <c r="C31" s="171" t="s">
        <v>31</v>
      </c>
      <c r="D31" s="145"/>
      <c r="E31" s="146"/>
      <c r="F31" s="60"/>
      <c r="G31" s="60"/>
      <c r="H31" s="60"/>
      <c r="I31" s="61"/>
      <c r="J31" s="60"/>
      <c r="K31" s="77"/>
      <c r="L31" s="78" t="s">
        <v>32</v>
      </c>
      <c r="M31" s="70">
        <f>IF((N22-M30-M29)&gt;AA46,AA46,N22-M30-M29)</f>
        <v>0</v>
      </c>
      <c r="N31" s="60">
        <f>ROUND(M31*32.5%,2)</f>
        <v>0</v>
      </c>
      <c r="O31" s="66"/>
      <c r="P31" s="60"/>
      <c r="Q31" s="60"/>
      <c r="R31" s="60"/>
      <c r="S31" s="60"/>
      <c r="T31" s="60"/>
      <c r="W31" s="79"/>
      <c r="X31" s="79"/>
      <c r="Y31" s="79"/>
      <c r="Z31" s="83" t="s">
        <v>33</v>
      </c>
      <c r="AA31" s="83">
        <f>G49/0.8</f>
        <v>0</v>
      </c>
      <c r="AB31" s="79" t="str">
        <f>TEXT(AA31,"#,###")</f>
        <v/>
      </c>
    </row>
    <row r="32" spans="1:28" ht="15.75" customHeight="1" x14ac:dyDescent="0.25">
      <c r="A32" s="151"/>
      <c r="B32" s="84"/>
      <c r="C32" s="172"/>
      <c r="D32" s="167"/>
      <c r="E32" s="168"/>
      <c r="F32" s="60"/>
      <c r="G32" s="60"/>
      <c r="H32" s="60"/>
      <c r="I32" s="61"/>
      <c r="J32" s="60"/>
      <c r="K32" s="77"/>
      <c r="L32" s="78" t="s">
        <v>34</v>
      </c>
      <c r="M32" s="75">
        <f>N22-M29-M30-M31</f>
        <v>0</v>
      </c>
      <c r="N32" s="71">
        <f>ROUND(M32*38.1%,2)</f>
        <v>0</v>
      </c>
      <c r="O32" s="66"/>
      <c r="P32" s="60"/>
      <c r="Q32" s="60"/>
      <c r="R32" s="60"/>
      <c r="S32" s="60"/>
      <c r="T32" s="60"/>
      <c r="W32" s="79"/>
      <c r="X32" s="79"/>
      <c r="Y32" s="79"/>
      <c r="Z32" s="83" t="s">
        <v>35</v>
      </c>
      <c r="AA32" s="83">
        <f>L20-AA30-AA31</f>
        <v>22000</v>
      </c>
      <c r="AB32" s="79"/>
    </row>
    <row r="33" spans="1:28" ht="15.75" customHeight="1" x14ac:dyDescent="0.25">
      <c r="A33" s="151"/>
      <c r="B33" s="58"/>
      <c r="C33" s="59"/>
      <c r="D33" s="59"/>
      <c r="E33" s="59"/>
      <c r="F33" s="60"/>
      <c r="G33" s="60"/>
      <c r="H33" s="60"/>
      <c r="I33" s="61"/>
      <c r="J33" s="60"/>
      <c r="K33" s="77"/>
      <c r="L33" s="78"/>
      <c r="M33" s="60"/>
      <c r="N33" s="60"/>
      <c r="O33" s="66"/>
      <c r="P33" s="60"/>
      <c r="Q33" s="60"/>
      <c r="R33" s="60"/>
      <c r="S33" s="60"/>
      <c r="T33" s="60"/>
      <c r="W33" s="79"/>
      <c r="X33" s="79"/>
      <c r="Y33" s="79"/>
      <c r="Z33" s="83" t="s">
        <v>36</v>
      </c>
      <c r="AA33" s="83">
        <f>IF(L20&lt;210001,(IF(IF(L20&gt;150000,X43-(ROUNDDOWN((L20-150000)/2,0)),X43)&lt;0,0,IF(L20&gt;150000,X43-(ROUNDDOWN((L20-150000)/2,0)),X43))),10000)</f>
        <v>40000</v>
      </c>
      <c r="AB33" s="79" t="str">
        <f>TEXT(AA33,"#,###")</f>
        <v>40,000</v>
      </c>
    </row>
    <row r="34" spans="1:28" ht="15.75" customHeight="1" x14ac:dyDescent="0.25">
      <c r="A34" s="151"/>
      <c r="B34" s="58"/>
      <c r="C34" s="59"/>
      <c r="D34" s="59"/>
      <c r="E34" s="59"/>
      <c r="F34" s="60"/>
      <c r="G34" s="60"/>
      <c r="H34" s="60"/>
      <c r="I34" s="61"/>
      <c r="J34" s="60"/>
      <c r="K34" s="77"/>
      <c r="L34" s="78" t="s">
        <v>37</v>
      </c>
      <c r="M34" s="60"/>
      <c r="N34" s="71">
        <f>IF(G17="No",0,IF(G17="Yes - Plan 1",AA58,IF(G17="Yes - Plan 2",AA59,AA60)))</f>
        <v>0</v>
      </c>
      <c r="O34" s="66"/>
      <c r="P34" s="60"/>
      <c r="Q34" s="60"/>
      <c r="R34" s="60"/>
      <c r="S34" s="60"/>
      <c r="T34" s="60"/>
      <c r="W34" s="79"/>
      <c r="X34" s="79"/>
      <c r="Y34" s="79"/>
      <c r="Z34" s="83" t="s">
        <v>38</v>
      </c>
      <c r="AA34" s="83">
        <f>G24+G30+G40+G43+G52</f>
        <v>22000</v>
      </c>
      <c r="AB34" s="79"/>
    </row>
    <row r="35" spans="1:28" ht="18" customHeight="1" x14ac:dyDescent="0.25">
      <c r="A35" s="151"/>
      <c r="B35" s="80"/>
      <c r="C35" s="38"/>
      <c r="D35" s="38"/>
      <c r="E35" s="74" t="s">
        <v>39</v>
      </c>
      <c r="F35" s="38"/>
      <c r="G35" s="130"/>
      <c r="H35" s="131"/>
      <c r="I35" s="61"/>
      <c r="J35" s="60"/>
      <c r="K35" s="77"/>
      <c r="L35" s="78" t="s">
        <v>40</v>
      </c>
      <c r="M35" s="60"/>
      <c r="N35" s="85">
        <f>IF(G21="No",0,AA60)</f>
        <v>0</v>
      </c>
      <c r="O35" s="66"/>
      <c r="P35" s="60"/>
      <c r="Q35" s="60"/>
      <c r="R35" s="60"/>
      <c r="S35" s="60"/>
      <c r="T35" s="60"/>
      <c r="W35" s="79"/>
      <c r="X35" s="79"/>
      <c r="Y35" s="79"/>
      <c r="Z35" s="79"/>
      <c r="AA35" s="79"/>
      <c r="AB35" s="79"/>
    </row>
    <row r="36" spans="1:28" ht="18" customHeight="1" x14ac:dyDescent="0.25">
      <c r="A36" s="151"/>
      <c r="B36" s="64"/>
      <c r="C36" s="65"/>
      <c r="D36" s="65"/>
      <c r="E36" s="65"/>
      <c r="F36" s="60"/>
      <c r="G36" s="60"/>
      <c r="H36" s="60"/>
      <c r="I36" s="61"/>
      <c r="J36" s="60"/>
      <c r="K36" s="77"/>
      <c r="L36" s="78"/>
      <c r="M36" s="60"/>
      <c r="N36" s="60"/>
      <c r="O36" s="66"/>
      <c r="P36" s="60"/>
      <c r="Q36" s="60"/>
      <c r="R36" s="60"/>
      <c r="S36" s="60"/>
      <c r="T36" s="60"/>
      <c r="W36" s="79"/>
      <c r="X36" s="79"/>
      <c r="Y36" s="79"/>
      <c r="Z36" s="83"/>
      <c r="AA36" s="79"/>
      <c r="AB36" s="79"/>
    </row>
    <row r="37" spans="1:28" ht="15.75" customHeight="1" x14ac:dyDescent="0.25">
      <c r="A37" s="151"/>
      <c r="B37" s="64"/>
      <c r="C37" s="65"/>
      <c r="D37" s="60"/>
      <c r="E37" s="74" t="s">
        <v>41</v>
      </c>
      <c r="F37" s="81"/>
      <c r="G37" s="130"/>
      <c r="H37" s="131"/>
      <c r="I37" s="61"/>
      <c r="J37" s="60"/>
      <c r="K37" s="77"/>
      <c r="L37" s="78" t="s">
        <v>42</v>
      </c>
      <c r="M37" s="60"/>
      <c r="N37" s="71">
        <f>N24+N25+N26+N27+N29+N30+N31+N32</f>
        <v>1900</v>
      </c>
      <c r="O37" s="66"/>
      <c r="P37" s="60"/>
      <c r="Q37" s="60"/>
      <c r="R37" s="60"/>
      <c r="S37" s="60"/>
      <c r="T37" s="60"/>
      <c r="W37" s="79"/>
      <c r="X37" s="86"/>
      <c r="Y37" s="79"/>
      <c r="Z37" s="83" t="s">
        <v>43</v>
      </c>
      <c r="AA37" s="83">
        <f>IF(AA34&gt;AA33,AA33,AA34)</f>
        <v>22000</v>
      </c>
      <c r="AB37" s="79"/>
    </row>
    <row r="38" spans="1:28" ht="15.75" customHeight="1" x14ac:dyDescent="0.25">
      <c r="A38" s="151"/>
      <c r="B38" s="64"/>
      <c r="C38" s="65"/>
      <c r="D38" s="60"/>
      <c r="E38" s="60"/>
      <c r="F38" s="60"/>
      <c r="G38" s="60"/>
      <c r="H38" s="60"/>
      <c r="I38" s="61"/>
      <c r="J38" s="60"/>
      <c r="K38" s="77"/>
      <c r="L38" s="78" t="s">
        <v>44</v>
      </c>
      <c r="M38" s="87" t="s">
        <v>45</v>
      </c>
      <c r="N38" s="71">
        <f>IF(G24&lt;9500,0,IF(G24&gt;50000,(((50000-9500)*0.12)+(G24-50000)*0.02),(G24-9500)*0.12))</f>
        <v>1500</v>
      </c>
      <c r="O38" s="66"/>
      <c r="P38" s="60"/>
      <c r="Q38" s="60"/>
      <c r="R38" s="60"/>
      <c r="S38" s="60"/>
      <c r="T38" s="60"/>
      <c r="W38" s="88" t="s">
        <v>46</v>
      </c>
      <c r="X38" s="89">
        <v>12500</v>
      </c>
      <c r="Y38" s="79"/>
      <c r="Z38" s="83" t="s">
        <v>47</v>
      </c>
      <c r="AA38" s="83">
        <f>IF(AA30&gt;AA37,AA37,AA30)</f>
        <v>0</v>
      </c>
      <c r="AB38" s="79" t="str">
        <f t="shared" ref="AB38:AB39" si="1">TEXT(AA38,"#,###")</f>
        <v/>
      </c>
    </row>
    <row r="39" spans="1:28" ht="16.5" customHeight="1" x14ac:dyDescent="0.25">
      <c r="A39" s="151"/>
      <c r="B39" s="58"/>
      <c r="C39" s="59"/>
      <c r="D39" s="59"/>
      <c r="E39" s="73"/>
      <c r="F39" s="60"/>
      <c r="G39" s="60"/>
      <c r="H39" s="60"/>
      <c r="I39" s="61"/>
      <c r="J39" s="60"/>
      <c r="K39" s="77"/>
      <c r="L39" s="78" t="s">
        <v>48</v>
      </c>
      <c r="M39" s="87" t="s">
        <v>49</v>
      </c>
      <c r="N39" s="90">
        <f>IF(G40&gt;6475,3.05*52,0)</f>
        <v>0</v>
      </c>
      <c r="O39" s="66"/>
      <c r="P39" s="60"/>
      <c r="Q39" s="60"/>
      <c r="R39" s="60"/>
      <c r="S39" s="60"/>
      <c r="T39" s="60"/>
      <c r="W39" s="88" t="s">
        <v>50</v>
      </c>
      <c r="X39" s="91">
        <v>37500</v>
      </c>
      <c r="Y39" s="79"/>
      <c r="Z39" s="83" t="s">
        <v>51</v>
      </c>
      <c r="AA39" s="83">
        <f>AA31+AA38</f>
        <v>0</v>
      </c>
      <c r="AB39" s="79" t="str">
        <f t="shared" si="1"/>
        <v/>
      </c>
    </row>
    <row r="40" spans="1:28" ht="15.75" customHeight="1" x14ac:dyDescent="0.25">
      <c r="A40" s="151"/>
      <c r="B40" s="92"/>
      <c r="C40" s="60"/>
      <c r="D40" s="60"/>
      <c r="E40" s="74" t="s">
        <v>52</v>
      </c>
      <c r="F40" s="60"/>
      <c r="G40" s="130"/>
      <c r="H40" s="131"/>
      <c r="I40" s="61"/>
      <c r="J40" s="60"/>
      <c r="K40" s="77"/>
      <c r="L40" s="78" t="s">
        <v>53</v>
      </c>
      <c r="M40" s="87" t="s">
        <v>49</v>
      </c>
      <c r="N40" s="71">
        <f>IF(((G40-9500)*9%)&lt;0,0,((G40-9500)*9%))</f>
        <v>0</v>
      </c>
      <c r="O40" s="66"/>
      <c r="P40" s="60"/>
      <c r="Q40" s="60"/>
      <c r="R40" s="60"/>
      <c r="S40" s="60"/>
      <c r="T40" s="60"/>
      <c r="W40" s="88" t="s">
        <v>54</v>
      </c>
      <c r="X40" s="91">
        <v>150000</v>
      </c>
      <c r="Y40" s="79"/>
      <c r="Z40" s="79"/>
      <c r="AA40" s="79"/>
      <c r="AB40" s="79"/>
    </row>
    <row r="41" spans="1:28" ht="15.75" customHeight="1" x14ac:dyDescent="0.25">
      <c r="A41" s="151"/>
      <c r="B41" s="92"/>
      <c r="C41" s="60"/>
      <c r="D41" s="60"/>
      <c r="E41" s="60"/>
      <c r="F41" s="60"/>
      <c r="G41" s="60"/>
      <c r="H41" s="60"/>
      <c r="I41" s="61"/>
      <c r="J41" s="60"/>
      <c r="K41" s="93"/>
      <c r="L41" s="90"/>
      <c r="M41" s="60"/>
      <c r="N41" s="60"/>
      <c r="O41" s="66"/>
      <c r="P41" s="60"/>
      <c r="Q41" s="60"/>
      <c r="R41" s="60"/>
      <c r="S41" s="60"/>
      <c r="T41" s="60"/>
      <c r="W41" s="79"/>
      <c r="X41" s="79"/>
      <c r="Y41" s="79"/>
      <c r="Z41" s="83"/>
      <c r="AA41" s="79"/>
      <c r="AB41" s="79"/>
    </row>
    <row r="42" spans="1:28" ht="15.75" customHeight="1" x14ac:dyDescent="0.25">
      <c r="A42" s="151"/>
      <c r="B42" s="58"/>
      <c r="C42" s="59"/>
      <c r="D42" s="59"/>
      <c r="E42" s="73"/>
      <c r="F42" s="60"/>
      <c r="G42" s="60"/>
      <c r="H42" s="60"/>
      <c r="I42" s="61"/>
      <c r="J42" s="60"/>
      <c r="K42" s="77"/>
      <c r="L42" s="68" t="s">
        <v>55</v>
      </c>
      <c r="M42" s="69" t="s">
        <v>56</v>
      </c>
      <c r="N42" s="75">
        <f>-G26</f>
        <v>0</v>
      </c>
      <c r="O42" s="66"/>
      <c r="P42" s="60"/>
      <c r="Q42" s="60"/>
      <c r="R42" s="60"/>
      <c r="S42" s="60"/>
      <c r="T42" s="60"/>
      <c r="W42" s="79"/>
      <c r="X42" s="86"/>
      <c r="Y42" s="79"/>
      <c r="Z42" s="83" t="s">
        <v>46</v>
      </c>
      <c r="AA42" s="83">
        <f>X38</f>
        <v>12500</v>
      </c>
      <c r="AB42" s="79"/>
    </row>
    <row r="43" spans="1:28" ht="15.75" customHeight="1" x14ac:dyDescent="0.25">
      <c r="A43" s="151"/>
      <c r="B43" s="92"/>
      <c r="C43" s="60"/>
      <c r="D43" s="60"/>
      <c r="E43" s="74" t="s">
        <v>57</v>
      </c>
      <c r="F43" s="60"/>
      <c r="G43" s="130"/>
      <c r="H43" s="131"/>
      <c r="I43" s="61"/>
      <c r="J43" s="60"/>
      <c r="K43" s="94"/>
      <c r="L43" s="60"/>
      <c r="M43" s="69" t="s">
        <v>58</v>
      </c>
      <c r="N43" s="70">
        <f>-G37</f>
        <v>0</v>
      </c>
      <c r="O43" s="66"/>
      <c r="P43" s="60"/>
      <c r="Q43" s="60"/>
      <c r="R43" s="60"/>
      <c r="S43" s="60"/>
      <c r="T43" s="60"/>
      <c r="W43" s="88" t="s">
        <v>59</v>
      </c>
      <c r="X43" s="91">
        <v>40000</v>
      </c>
      <c r="Y43" s="79"/>
      <c r="Z43" s="83" t="s">
        <v>60</v>
      </c>
      <c r="AA43" s="83">
        <f>X39+AA38+AA31</f>
        <v>37500</v>
      </c>
      <c r="AB43" s="79"/>
    </row>
    <row r="44" spans="1:28" ht="15.75" customHeight="1" x14ac:dyDescent="0.25">
      <c r="A44" s="151"/>
      <c r="B44" s="92"/>
      <c r="C44" s="60"/>
      <c r="D44" s="60"/>
      <c r="E44" s="60"/>
      <c r="F44" s="60"/>
      <c r="G44" s="60"/>
      <c r="H44" s="60"/>
      <c r="I44" s="61"/>
      <c r="J44" s="60"/>
      <c r="K44" s="94"/>
      <c r="L44" s="60"/>
      <c r="M44" s="60"/>
      <c r="N44" s="70"/>
      <c r="O44" s="66"/>
      <c r="P44" s="60"/>
      <c r="Q44" s="60"/>
      <c r="R44" s="60"/>
      <c r="S44" s="60"/>
      <c r="T44" s="60"/>
      <c r="W44" s="79"/>
      <c r="X44" s="79"/>
      <c r="Y44" s="79"/>
      <c r="Z44" s="83" t="s">
        <v>61</v>
      </c>
      <c r="AA44" s="83">
        <f>AA43+(X40-X39)</f>
        <v>150000</v>
      </c>
      <c r="AB44" s="79"/>
    </row>
    <row r="45" spans="1:28" ht="15.75" customHeight="1" x14ac:dyDescent="0.25">
      <c r="A45" s="151"/>
      <c r="B45" s="92"/>
      <c r="C45" s="60"/>
      <c r="D45" s="60"/>
      <c r="E45" s="60"/>
      <c r="F45" s="60"/>
      <c r="G45" s="60"/>
      <c r="H45" s="60"/>
      <c r="I45" s="61"/>
      <c r="J45" s="60"/>
      <c r="K45" s="95"/>
      <c r="L45" s="96"/>
      <c r="M45" s="97" t="s">
        <v>62</v>
      </c>
      <c r="N45" s="98">
        <f>N37+N40+N34+N35+N42+N43+N39+N38</f>
        <v>3400</v>
      </c>
      <c r="O45" s="99"/>
      <c r="P45" s="60"/>
      <c r="Q45" s="60"/>
      <c r="R45" s="60"/>
      <c r="S45" s="60"/>
      <c r="T45" s="60"/>
      <c r="W45" s="79" t="s">
        <v>63</v>
      </c>
      <c r="X45" s="100">
        <f>-(N42+N43)/N37</f>
        <v>0</v>
      </c>
      <c r="Y45" s="79"/>
      <c r="Z45" s="83" t="s">
        <v>64</v>
      </c>
      <c r="AA45" s="83">
        <f>IF((AA43)-(M26+M25+M24+M29)&lt;0,0,(AA43)-(M26+M25+M24+M29))</f>
        <v>28000</v>
      </c>
      <c r="AB45" s="79"/>
    </row>
    <row r="46" spans="1:28" ht="15.75" customHeight="1" x14ac:dyDescent="0.25">
      <c r="A46" s="151"/>
      <c r="B46" s="92"/>
      <c r="C46" s="60"/>
      <c r="D46" s="60"/>
      <c r="E46" s="101" t="s">
        <v>65</v>
      </c>
      <c r="F46" s="60"/>
      <c r="G46" s="132"/>
      <c r="H46" s="131"/>
      <c r="I46" s="61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 t="s">
        <v>66</v>
      </c>
      <c r="W46" s="79"/>
      <c r="X46" s="79"/>
      <c r="Y46" s="79"/>
      <c r="Z46" s="83" t="s">
        <v>67</v>
      </c>
      <c r="AA46" s="83">
        <f>IF((M27+M26+M25+M24)&gt;AA43,IF((AA44-AA43)-(M26+M29)&lt;0,0,(AA44-AA43)-(M26+M29)),IF((AA44-AA43)-(M26+M29)&lt;0,0,(AA44-AA43)-(M26)))</f>
        <v>112500</v>
      </c>
      <c r="AB46" s="79"/>
    </row>
    <row r="47" spans="1:28" ht="15.75" customHeight="1" x14ac:dyDescent="0.25">
      <c r="A47" s="151"/>
      <c r="B47" s="58"/>
      <c r="C47" s="59"/>
      <c r="D47" s="59"/>
      <c r="E47" s="73"/>
      <c r="F47" s="60"/>
      <c r="G47" s="60"/>
      <c r="H47" s="60"/>
      <c r="I47" s="61"/>
      <c r="J47" s="60"/>
      <c r="K47" s="133" t="s">
        <v>68</v>
      </c>
      <c r="L47" s="134"/>
      <c r="M47" s="134"/>
      <c r="N47" s="134"/>
      <c r="O47" s="60"/>
      <c r="P47" s="60"/>
      <c r="Q47" s="60"/>
      <c r="R47" s="60"/>
      <c r="S47" s="60"/>
      <c r="T47" s="60"/>
      <c r="W47" s="79"/>
      <c r="X47" s="79"/>
      <c r="Y47" s="79"/>
      <c r="Z47" s="83"/>
      <c r="AA47" s="79"/>
      <c r="AB47" s="79"/>
    </row>
    <row r="48" spans="1:28" ht="4.5" customHeight="1" x14ac:dyDescent="0.25">
      <c r="A48" s="151"/>
      <c r="B48" s="58"/>
      <c r="C48" s="59"/>
      <c r="D48" s="59"/>
      <c r="E48" s="101"/>
      <c r="F48" s="60"/>
      <c r="G48" s="71"/>
      <c r="H48" s="71"/>
      <c r="I48" s="61"/>
      <c r="J48" s="60"/>
      <c r="K48" s="102"/>
      <c r="L48" s="103"/>
      <c r="M48" s="103"/>
      <c r="N48" s="104"/>
      <c r="O48" s="105"/>
      <c r="P48" s="60"/>
      <c r="Q48" s="60"/>
      <c r="R48" s="60"/>
      <c r="S48" s="60"/>
      <c r="T48" s="60"/>
    </row>
    <row r="49" spans="1:27" ht="15.75" customHeight="1" x14ac:dyDescent="0.25">
      <c r="A49" s="151"/>
      <c r="B49" s="58"/>
      <c r="C49" s="59"/>
      <c r="D49" s="59"/>
      <c r="E49" s="101" t="s">
        <v>69</v>
      </c>
      <c r="F49" s="60"/>
      <c r="G49" s="132"/>
      <c r="H49" s="131"/>
      <c r="I49" s="61"/>
      <c r="J49" s="60"/>
      <c r="K49" s="135" t="s">
        <v>70</v>
      </c>
      <c r="L49" s="134"/>
      <c r="M49" s="134"/>
      <c r="N49" s="137"/>
      <c r="O49" s="106"/>
      <c r="P49" s="60"/>
      <c r="Q49" s="60"/>
      <c r="R49" s="60"/>
      <c r="S49" s="60"/>
      <c r="T49" s="60"/>
    </row>
    <row r="50" spans="1:27" ht="15.75" customHeight="1" x14ac:dyDescent="0.25">
      <c r="A50" s="151"/>
      <c r="B50" s="58"/>
      <c r="C50" s="59"/>
      <c r="D50" s="59"/>
      <c r="E50" s="59"/>
      <c r="F50" s="60"/>
      <c r="G50" s="60"/>
      <c r="H50" s="60"/>
      <c r="I50" s="61"/>
      <c r="J50" s="60"/>
      <c r="K50" s="136"/>
      <c r="L50" s="134"/>
      <c r="M50" s="134"/>
      <c r="N50" s="138"/>
      <c r="O50" s="106"/>
      <c r="P50" s="60"/>
      <c r="Q50" s="60"/>
      <c r="R50" s="60"/>
      <c r="S50" s="60"/>
      <c r="T50" s="60"/>
    </row>
    <row r="51" spans="1:27" ht="15.75" customHeight="1" x14ac:dyDescent="0.25">
      <c r="A51" s="151"/>
      <c r="B51" s="58"/>
      <c r="C51" s="59"/>
      <c r="D51" s="59"/>
      <c r="E51" s="59"/>
      <c r="F51" s="60"/>
      <c r="G51" s="60"/>
      <c r="H51" s="60"/>
      <c r="I51" s="61"/>
      <c r="J51" s="60"/>
      <c r="K51" s="107"/>
      <c r="L51" s="60"/>
      <c r="M51" s="60"/>
      <c r="N51" s="60"/>
      <c r="O51" s="106"/>
      <c r="P51" s="60"/>
      <c r="Q51" s="60"/>
      <c r="R51" s="60"/>
      <c r="S51" s="60"/>
      <c r="T51" s="60"/>
      <c r="Z51" s="108">
        <f>M25+M26+M31+M30</f>
        <v>9500</v>
      </c>
      <c r="AA51" s="109" t="b">
        <f>Z51&lt;=AA44</f>
        <v>1</v>
      </c>
    </row>
    <row r="52" spans="1:27" ht="15.75" customHeight="1" x14ac:dyDescent="0.25">
      <c r="A52" s="151"/>
      <c r="B52" s="58"/>
      <c r="C52" s="59"/>
      <c r="D52" s="59"/>
      <c r="E52" s="101" t="s">
        <v>71</v>
      </c>
      <c r="F52" s="60"/>
      <c r="G52" s="132"/>
      <c r="H52" s="131"/>
      <c r="I52" s="61"/>
      <c r="J52" s="60"/>
      <c r="K52" s="139" t="s">
        <v>72</v>
      </c>
      <c r="L52" s="134"/>
      <c r="M52" s="134"/>
      <c r="N52" s="140">
        <f>IF((N45-N34-N35)&gt;1000,IF(X45&lt;0.8,(N45-N34-N35)/2,0),0)</f>
        <v>1700</v>
      </c>
      <c r="O52" s="106"/>
      <c r="P52" s="60"/>
      <c r="Q52" s="60"/>
      <c r="R52" s="60"/>
      <c r="S52" s="60"/>
      <c r="T52" s="60"/>
      <c r="Z52" s="108">
        <f>M25+M26+M27+M31+M30+M32</f>
        <v>9500</v>
      </c>
      <c r="AA52" s="109" t="b">
        <f>Z52=L22</f>
        <v>1</v>
      </c>
    </row>
    <row r="53" spans="1:27" ht="15.75" customHeight="1" x14ac:dyDescent="0.25">
      <c r="A53" s="151"/>
      <c r="B53" s="110"/>
      <c r="C53" s="111"/>
      <c r="D53" s="111"/>
      <c r="E53" s="111"/>
      <c r="F53" s="111"/>
      <c r="G53" s="111"/>
      <c r="H53" s="111"/>
      <c r="I53" s="112"/>
      <c r="J53" s="60"/>
      <c r="K53" s="136"/>
      <c r="L53" s="134"/>
      <c r="M53" s="134"/>
      <c r="N53" s="134"/>
      <c r="O53" s="106"/>
      <c r="P53" s="60"/>
      <c r="Q53" s="60"/>
      <c r="R53" s="60"/>
      <c r="S53" s="60"/>
      <c r="T53" s="60"/>
      <c r="Z53" s="113"/>
      <c r="AA53" s="113"/>
    </row>
    <row r="54" spans="1:27" ht="15.75" customHeight="1" x14ac:dyDescent="0.25">
      <c r="A54" s="151"/>
      <c r="B54" s="60"/>
      <c r="C54" s="60"/>
      <c r="D54" s="60"/>
      <c r="E54" s="60"/>
      <c r="F54" s="60"/>
      <c r="G54" s="60"/>
      <c r="H54" s="60"/>
      <c r="I54" s="60"/>
      <c r="J54" s="60"/>
      <c r="K54" s="107"/>
      <c r="L54" s="60"/>
      <c r="M54" s="60"/>
      <c r="N54" s="60"/>
      <c r="O54" s="106"/>
      <c r="P54" s="60"/>
      <c r="Q54" s="60"/>
      <c r="R54" s="60"/>
      <c r="S54" s="60"/>
      <c r="T54" s="60"/>
      <c r="Z54" s="114" t="s">
        <v>73</v>
      </c>
      <c r="AA54" s="108">
        <f>IF((L22)&gt;AA44,0,IF((L22)&gt;AA43,500,1000))</f>
        <v>1000</v>
      </c>
    </row>
    <row r="55" spans="1:27" ht="15.75" customHeight="1" x14ac:dyDescent="0.25">
      <c r="A55" s="151"/>
      <c r="B55" s="60"/>
      <c r="C55" s="60"/>
      <c r="D55" s="60"/>
      <c r="E55" s="60"/>
      <c r="F55" s="60"/>
      <c r="G55" s="60"/>
      <c r="H55" s="60"/>
      <c r="I55" s="60"/>
      <c r="J55" s="60"/>
      <c r="K55" s="141" t="s">
        <v>74</v>
      </c>
      <c r="L55" s="134"/>
      <c r="M55" s="134"/>
      <c r="N55" s="142">
        <f>N45-N49+N52</f>
        <v>5100</v>
      </c>
      <c r="O55" s="106"/>
      <c r="P55" s="60"/>
      <c r="Q55" s="60"/>
      <c r="R55" s="60"/>
      <c r="S55" s="60"/>
      <c r="T55" s="60"/>
      <c r="Z55" s="114" t="s">
        <v>75</v>
      </c>
      <c r="AA55" s="108">
        <f>IF((G24+G35+G40+G43+G30-AA30)&gt;(X38+5000),0,IF((G24+G35+G40+G43+G30-AA30)&lt;(X38),5000,(5000+(X38-(G24+G35+G40+G43+G30-AA30)))))</f>
        <v>0</v>
      </c>
    </row>
    <row r="56" spans="1:27" ht="15.75" customHeight="1" x14ac:dyDescent="0.25">
      <c r="A56" s="151"/>
      <c r="B56" s="60"/>
      <c r="C56" s="60"/>
      <c r="D56" s="60"/>
      <c r="E56" s="60"/>
      <c r="F56" s="60"/>
      <c r="G56" s="60"/>
      <c r="H56" s="60"/>
      <c r="I56" s="60"/>
      <c r="J56" s="60"/>
      <c r="K56" s="136"/>
      <c r="L56" s="134"/>
      <c r="M56" s="134"/>
      <c r="N56" s="143"/>
      <c r="O56" s="106"/>
      <c r="P56" s="60"/>
      <c r="Q56" s="60"/>
      <c r="R56" s="60"/>
      <c r="S56" s="60"/>
      <c r="T56" s="60"/>
      <c r="Z56" s="114" t="s">
        <v>76</v>
      </c>
      <c r="AA56" s="108">
        <v>2000</v>
      </c>
    </row>
    <row r="57" spans="1:27" ht="15.75" customHeight="1" x14ac:dyDescent="0.25">
      <c r="A57" s="151"/>
      <c r="B57" s="60"/>
      <c r="C57" s="60"/>
      <c r="D57" s="60"/>
      <c r="E57" s="60"/>
      <c r="F57" s="60"/>
      <c r="G57" s="60"/>
      <c r="H57" s="60"/>
      <c r="I57" s="60"/>
      <c r="J57" s="60"/>
      <c r="K57" s="107"/>
      <c r="L57" s="60"/>
      <c r="M57" s="60"/>
      <c r="N57" s="60"/>
      <c r="O57" s="106"/>
      <c r="P57" s="60"/>
      <c r="Q57" s="60"/>
      <c r="R57" s="60"/>
      <c r="S57" s="60"/>
      <c r="T57" s="60"/>
      <c r="Z57" s="113"/>
      <c r="AA57" s="113"/>
    </row>
    <row r="58" spans="1:27" ht="15.75" customHeight="1" x14ac:dyDescent="0.25">
      <c r="A58" s="151"/>
      <c r="B58" s="60"/>
      <c r="C58" s="60"/>
      <c r="D58" s="60"/>
      <c r="E58" s="60"/>
      <c r="F58" s="60"/>
      <c r="G58" s="60"/>
      <c r="H58" s="60"/>
      <c r="I58" s="60"/>
      <c r="J58" s="60"/>
      <c r="K58" s="144" t="s">
        <v>77</v>
      </c>
      <c r="L58" s="145"/>
      <c r="M58" s="146"/>
      <c r="N58" s="140">
        <f>N52</f>
        <v>1700</v>
      </c>
      <c r="O58" s="106"/>
      <c r="P58" s="60"/>
      <c r="Q58" s="60"/>
      <c r="R58" s="60"/>
      <c r="S58" s="60"/>
      <c r="T58" s="60"/>
      <c r="Z58" s="114" t="s">
        <v>78</v>
      </c>
      <c r="AA58" s="114">
        <f>IF(IF($G$17=W18,IF(($AA$32-18390*9%)&lt;0,0,($AA$32-19390)*9%),0)&lt;0,0,IF($G$17=W18,IF(($AA$32-19390*9%)&lt;0,0,($AA$32-19390)*9%),0))</f>
        <v>0</v>
      </c>
    </row>
    <row r="59" spans="1:27" ht="15.75" customHeight="1" x14ac:dyDescent="0.25">
      <c r="A59" s="151"/>
      <c r="B59" s="60"/>
      <c r="C59" s="60"/>
      <c r="D59" s="60"/>
      <c r="E59" s="60"/>
      <c r="F59" s="60"/>
      <c r="G59" s="60"/>
      <c r="H59" s="60"/>
      <c r="I59" s="60"/>
      <c r="J59" s="60"/>
      <c r="K59" s="147"/>
      <c r="L59" s="148"/>
      <c r="M59" s="149"/>
      <c r="N59" s="148"/>
      <c r="O59" s="115"/>
      <c r="P59" s="60"/>
      <c r="Q59" s="60"/>
      <c r="R59" s="60"/>
      <c r="S59" s="60"/>
      <c r="T59" s="60"/>
      <c r="Z59" s="114" t="s">
        <v>79</v>
      </c>
      <c r="AA59" s="114">
        <f>IF(IF($G$17=W19,IF(($AA$32-26575*9%)&lt;0,0,($AA$32-26575)*9%),0)&lt;0,0,IF($G$17=W19,IF(($AA$32-26575*9%)&lt;0,0,($AA$32-26575)*9%),0))</f>
        <v>0</v>
      </c>
    </row>
    <row r="60" spans="1:27" ht="15.75" customHeight="1" x14ac:dyDescent="0.25">
      <c r="A60" s="151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Z60" s="114" t="s">
        <v>80</v>
      </c>
      <c r="AA60" s="116">
        <f>IF($G$21=W22,IF(($AA$32-21000*6%)&lt;0,0,($AA$32-21000)*6%),0)</f>
        <v>0</v>
      </c>
    </row>
    <row r="61" spans="1:27" ht="15.75" customHeight="1" x14ac:dyDescent="0.25">
      <c r="A61" s="151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Z61" s="117"/>
    </row>
    <row r="62" spans="1:27" ht="15.75" customHeight="1" x14ac:dyDescent="0.25">
      <c r="A62" s="151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7" ht="15.75" customHeight="1" x14ac:dyDescent="0.25">
      <c r="A63" s="15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7" ht="15.75" customHeight="1" x14ac:dyDescent="0.25">
      <c r="A64" s="15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6" ht="15.75" customHeight="1" x14ac:dyDescent="0.25">
      <c r="A65" s="151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Z65" s="118" t="s">
        <v>81</v>
      </c>
    </row>
    <row r="66" spans="1:26" ht="15.75" customHeight="1" x14ac:dyDescent="0.25">
      <c r="A66" s="151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6" ht="15.75" customHeight="1" x14ac:dyDescent="0.25">
      <c r="A67" s="151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6" ht="15.75" customHeight="1" x14ac:dyDescent="0.25">
      <c r="A68" s="15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6" ht="15.75" customHeight="1" x14ac:dyDescent="0.25">
      <c r="A69" s="15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6" ht="15.75" customHeight="1" x14ac:dyDescent="0.25">
      <c r="A70" s="151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6" ht="15.75" customHeight="1" x14ac:dyDescent="0.25">
      <c r="A71" s="15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6" ht="15.75" customHeight="1" x14ac:dyDescent="0.25">
      <c r="A72" s="151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6" ht="15.75" customHeight="1" x14ac:dyDescent="0.25">
      <c r="A73" s="151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6" ht="15.75" customHeight="1" x14ac:dyDescent="0.25">
      <c r="A74" s="151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6" ht="15.75" customHeight="1" x14ac:dyDescent="0.25">
      <c r="A75" s="151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6" ht="15.75" customHeight="1" x14ac:dyDescent="0.25">
      <c r="A76" s="151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6" ht="15.75" customHeight="1" x14ac:dyDescent="0.25">
      <c r="A77" s="151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6" ht="15.75" customHeight="1" x14ac:dyDescent="0.25">
      <c r="A78" s="151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6" ht="15.75" customHeight="1" x14ac:dyDescent="0.25">
      <c r="A79" s="151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  <row r="80" spans="1:26" ht="15.75" customHeight="1" x14ac:dyDescent="0.25">
      <c r="A80" s="15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</row>
    <row r="81" spans="1:20" ht="15.75" customHeight="1" x14ac:dyDescent="0.25">
      <c r="A81" s="151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</row>
    <row r="82" spans="1:20" ht="15.75" customHeight="1" x14ac:dyDescent="0.25">
      <c r="A82" s="151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1:20" ht="15.75" customHeight="1" x14ac:dyDescent="0.25">
      <c r="A83" s="151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</row>
    <row r="84" spans="1:20" ht="15.75" customHeight="1" x14ac:dyDescent="0.25">
      <c r="A84" s="151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</row>
    <row r="85" spans="1:20" ht="15.75" customHeight="1" x14ac:dyDescent="0.25">
      <c r="A85" s="151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 ht="15.75" customHeight="1" x14ac:dyDescent="0.25">
      <c r="A86" s="151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</row>
    <row r="87" spans="1:20" ht="15.75" customHeight="1" x14ac:dyDescent="0.25">
      <c r="A87" s="151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</row>
    <row r="88" spans="1:20" ht="15.75" customHeight="1" x14ac:dyDescent="0.25">
      <c r="A88" s="151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</row>
    <row r="89" spans="1:20" ht="15.75" customHeight="1" x14ac:dyDescent="0.25">
      <c r="A89" s="151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</row>
    <row r="90" spans="1:20" ht="15.75" customHeight="1" x14ac:dyDescent="0.25">
      <c r="A90" s="151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</row>
    <row r="91" spans="1:20" ht="15.75" customHeight="1" x14ac:dyDescent="0.25">
      <c r="A91" s="151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</row>
    <row r="92" spans="1:20" ht="15.75" customHeight="1" x14ac:dyDescent="0.25">
      <c r="A92" s="151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</row>
    <row r="93" spans="1:20" ht="15.75" customHeight="1" x14ac:dyDescent="0.25">
      <c r="A93" s="151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ht="15.75" customHeight="1" x14ac:dyDescent="0.25">
      <c r="A94" s="151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ht="15.75" customHeight="1" x14ac:dyDescent="0.25">
      <c r="A95" s="151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</row>
    <row r="96" spans="1:20" ht="15.75" customHeight="1" x14ac:dyDescent="0.25">
      <c r="A96" s="151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</row>
    <row r="97" spans="1:20" ht="15.75" customHeight="1" x14ac:dyDescent="0.25">
      <c r="A97" s="151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</row>
    <row r="98" spans="1:20" ht="15.75" customHeight="1" x14ac:dyDescent="0.25">
      <c r="A98" s="151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20" ht="15.75" customHeight="1" x14ac:dyDescent="0.25">
      <c r="A99" s="151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</row>
    <row r="100" spans="1:20" ht="15.75" customHeight="1" x14ac:dyDescent="0.25">
      <c r="A100" s="151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</row>
    <row r="101" spans="1:20" ht="15.75" customHeight="1" x14ac:dyDescent="0.25">
      <c r="A101" s="151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</row>
    <row r="102" spans="1:20" ht="15.75" customHeight="1" x14ac:dyDescent="0.25">
      <c r="A102" s="151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</row>
    <row r="103" spans="1:20" ht="15.75" customHeight="1" x14ac:dyDescent="0.25">
      <c r="A103" s="151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0" ht="15.75" customHeight="1" x14ac:dyDescent="0.25">
      <c r="A104" s="151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1:20" ht="15.75" customHeight="1" x14ac:dyDescent="0.25">
      <c r="A105" s="151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</row>
    <row r="106" spans="1:20" ht="15.75" customHeight="1" x14ac:dyDescent="0.25">
      <c r="A106" s="151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</row>
    <row r="107" spans="1:20" ht="15.75" customHeight="1" x14ac:dyDescent="0.25">
      <c r="A107" s="151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</row>
    <row r="108" spans="1:20" ht="15.75" customHeight="1" x14ac:dyDescent="0.25">
      <c r="A108" s="151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  <row r="109" spans="1:20" ht="15.75" customHeight="1" x14ac:dyDescent="0.25">
      <c r="A109" s="151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</row>
    <row r="110" spans="1:20" ht="15.75" customHeight="1" x14ac:dyDescent="0.25">
      <c r="A110" s="151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1:20" ht="15.75" customHeight="1" x14ac:dyDescent="0.25">
      <c r="A111" s="151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0" ht="15.75" customHeight="1" x14ac:dyDescent="0.25">
      <c r="A112" s="151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 ht="15.75" customHeight="1" x14ac:dyDescent="0.25">
      <c r="A113" s="151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 ht="15.75" customHeight="1" x14ac:dyDescent="0.25">
      <c r="A114" s="151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 ht="15.75" customHeight="1" x14ac:dyDescent="0.25">
      <c r="A115" s="151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 ht="15.75" customHeight="1" x14ac:dyDescent="0.25">
      <c r="A116" s="151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 ht="15.75" customHeight="1" x14ac:dyDescent="0.25">
      <c r="A117" s="151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1:20" ht="15.75" customHeight="1" x14ac:dyDescent="0.25">
      <c r="A118" s="151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1:20" ht="15.75" customHeight="1" x14ac:dyDescent="0.25">
      <c r="A119" s="151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1:20" ht="15.75" customHeight="1" x14ac:dyDescent="0.25">
      <c r="A120" s="151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20" ht="15.75" customHeight="1" x14ac:dyDescent="0.25">
      <c r="A121" s="151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20" ht="15.75" customHeight="1" x14ac:dyDescent="0.25">
      <c r="A122" s="151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</row>
    <row r="123" spans="1:20" ht="15.75" customHeight="1" x14ac:dyDescent="0.25">
      <c r="A123" s="151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</row>
    <row r="124" spans="1:20" ht="15.75" customHeight="1" x14ac:dyDescent="0.25">
      <c r="A124" s="151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</row>
    <row r="125" spans="1:20" ht="15.75" customHeight="1" x14ac:dyDescent="0.25">
      <c r="A125" s="151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</row>
    <row r="126" spans="1:20" ht="15.75" customHeight="1" x14ac:dyDescent="0.25">
      <c r="A126" s="151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</row>
    <row r="127" spans="1:20" ht="15.75" customHeight="1" x14ac:dyDescent="0.25">
      <c r="A127" s="151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</row>
    <row r="128" spans="1:20" ht="15.75" customHeight="1" x14ac:dyDescent="0.25">
      <c r="A128" s="151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</row>
    <row r="129" spans="1:20" ht="15.75" customHeight="1" x14ac:dyDescent="0.25">
      <c r="A129" s="151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</row>
    <row r="130" spans="1:20" ht="15.75" customHeight="1" x14ac:dyDescent="0.25">
      <c r="A130" s="151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</row>
    <row r="131" spans="1:20" ht="15.75" customHeight="1" x14ac:dyDescent="0.25">
      <c r="A131" s="151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</row>
    <row r="132" spans="1:20" ht="15.75" customHeight="1" x14ac:dyDescent="0.25">
      <c r="A132" s="151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</row>
    <row r="133" spans="1:20" ht="15.75" customHeight="1" x14ac:dyDescent="0.25">
      <c r="A133" s="151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</row>
    <row r="134" spans="1:20" ht="15.75" customHeight="1" x14ac:dyDescent="0.25">
      <c r="A134" s="151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</row>
    <row r="135" spans="1:20" ht="15.75" customHeight="1" x14ac:dyDescent="0.25">
      <c r="A135" s="151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</row>
    <row r="136" spans="1:20" ht="15.75" customHeight="1" x14ac:dyDescent="0.25">
      <c r="A136" s="151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</row>
    <row r="137" spans="1:20" ht="15.75" customHeight="1" x14ac:dyDescent="0.25">
      <c r="A137" s="151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</row>
    <row r="138" spans="1:20" ht="15.75" customHeight="1" x14ac:dyDescent="0.25">
      <c r="A138" s="151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</row>
    <row r="139" spans="1:20" ht="15.75" customHeight="1" x14ac:dyDescent="0.25">
      <c r="A139" s="151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</row>
    <row r="140" spans="1:20" ht="15.75" customHeight="1" x14ac:dyDescent="0.25">
      <c r="A140" s="151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</row>
    <row r="141" spans="1:20" ht="15.75" customHeight="1" x14ac:dyDescent="0.25">
      <c r="A141" s="151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</row>
    <row r="142" spans="1:20" ht="15.75" customHeight="1" x14ac:dyDescent="0.25">
      <c r="A142" s="151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</row>
    <row r="143" spans="1:20" ht="15.75" customHeight="1" x14ac:dyDescent="0.25">
      <c r="A143" s="151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</row>
    <row r="144" spans="1:20" ht="15.75" customHeight="1" x14ac:dyDescent="0.25">
      <c r="A144" s="151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</row>
    <row r="145" spans="1:20" ht="15.75" customHeight="1" x14ac:dyDescent="0.25">
      <c r="A145" s="151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</row>
    <row r="146" spans="1:20" ht="15.75" customHeight="1" x14ac:dyDescent="0.25">
      <c r="A146" s="151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</row>
    <row r="147" spans="1:20" ht="15.75" customHeight="1" x14ac:dyDescent="0.25">
      <c r="A147" s="151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</row>
    <row r="148" spans="1:20" ht="15.75" customHeight="1" x14ac:dyDescent="0.25">
      <c r="A148" s="151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</row>
    <row r="149" spans="1:20" ht="15.75" customHeight="1" x14ac:dyDescent="0.25">
      <c r="A149" s="151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</row>
    <row r="150" spans="1:20" ht="15.75" customHeight="1" x14ac:dyDescent="0.25">
      <c r="A150" s="151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</row>
    <row r="151" spans="1:20" ht="15.75" customHeight="1" x14ac:dyDescent="0.25">
      <c r="A151" s="151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</row>
    <row r="152" spans="1:20" ht="15.75" customHeight="1" x14ac:dyDescent="0.25">
      <c r="A152" s="151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</row>
    <row r="153" spans="1:20" ht="15.75" customHeight="1" x14ac:dyDescent="0.25">
      <c r="A153" s="151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</row>
    <row r="154" spans="1:20" ht="15.75" customHeight="1" x14ac:dyDescent="0.25">
      <c r="A154" s="151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</row>
    <row r="155" spans="1:20" ht="15.75" customHeight="1" x14ac:dyDescent="0.25">
      <c r="A155" s="151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1:20" ht="15.75" customHeight="1" x14ac:dyDescent="0.25">
      <c r="A156" s="151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</row>
    <row r="157" spans="1:20" ht="15.75" customHeight="1" x14ac:dyDescent="0.25">
      <c r="A157" s="15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</row>
    <row r="158" spans="1:20" ht="15.75" customHeight="1" x14ac:dyDescent="0.25">
      <c r="A158" s="151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</row>
    <row r="159" spans="1:20" ht="15.75" customHeight="1" x14ac:dyDescent="0.25">
      <c r="A159" s="151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</row>
    <row r="160" spans="1:20" ht="15.75" customHeight="1" x14ac:dyDescent="0.25">
      <c r="A160" s="151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1:20" ht="15.75" customHeight="1" x14ac:dyDescent="0.25">
      <c r="A161" s="151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</row>
    <row r="162" spans="1:20" ht="15.75" customHeight="1" x14ac:dyDescent="0.25">
      <c r="A162" s="151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</row>
    <row r="163" spans="1:20" ht="15.75" customHeight="1" x14ac:dyDescent="0.25">
      <c r="A163" s="151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</row>
    <row r="164" spans="1:20" ht="15.75" customHeight="1" x14ac:dyDescent="0.25">
      <c r="A164" s="151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</row>
    <row r="165" spans="1:20" ht="15.75" customHeight="1" x14ac:dyDescent="0.25">
      <c r="A165" s="151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1:20" ht="15.75" customHeight="1" x14ac:dyDescent="0.25">
      <c r="A166" s="151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</row>
    <row r="167" spans="1:20" ht="15.75" customHeight="1" x14ac:dyDescent="0.25">
      <c r="A167" s="151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</row>
    <row r="168" spans="1:20" ht="15.75" customHeight="1" x14ac:dyDescent="0.25">
      <c r="A168" s="151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</row>
    <row r="169" spans="1:20" ht="15.75" customHeight="1" x14ac:dyDescent="0.25">
      <c r="A169" s="151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</row>
    <row r="170" spans="1:20" ht="15.75" customHeight="1" x14ac:dyDescent="0.25">
      <c r="A170" s="151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</row>
    <row r="171" spans="1:20" ht="15.75" customHeight="1" x14ac:dyDescent="0.25">
      <c r="A171" s="151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0" ht="15.75" customHeight="1" x14ac:dyDescent="0.25">
      <c r="A172" s="151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</row>
    <row r="173" spans="1:20" ht="15.75" customHeight="1" x14ac:dyDescent="0.25">
      <c r="A173" s="151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</row>
    <row r="174" spans="1:20" ht="15.75" customHeight="1" x14ac:dyDescent="0.25">
      <c r="A174" s="151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</row>
    <row r="175" spans="1:20" ht="15.75" customHeight="1" x14ac:dyDescent="0.25">
      <c r="A175" s="151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</row>
    <row r="176" spans="1:20" ht="15.75" customHeight="1" x14ac:dyDescent="0.25">
      <c r="A176" s="151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</row>
    <row r="177" spans="1:20" ht="15.75" customHeight="1" x14ac:dyDescent="0.25">
      <c r="A177" s="151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</row>
    <row r="178" spans="1:20" ht="15.75" customHeight="1" x14ac:dyDescent="0.25">
      <c r="A178" s="151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</row>
    <row r="179" spans="1:20" ht="15.75" customHeight="1" x14ac:dyDescent="0.25">
      <c r="A179" s="151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</row>
    <row r="180" spans="1:20" ht="15.75" customHeight="1" x14ac:dyDescent="0.25">
      <c r="A180" s="151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</row>
    <row r="181" spans="1:20" ht="15.75" customHeight="1" x14ac:dyDescent="0.25">
      <c r="A181" s="151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</row>
    <row r="182" spans="1:20" ht="15.75" customHeight="1" x14ac:dyDescent="0.25">
      <c r="A182" s="151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</row>
    <row r="183" spans="1:20" ht="15.75" customHeight="1" x14ac:dyDescent="0.25">
      <c r="A183" s="151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</row>
    <row r="184" spans="1:20" ht="15.75" customHeight="1" x14ac:dyDescent="0.25">
      <c r="A184" s="151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</row>
    <row r="185" spans="1:20" ht="15.75" customHeight="1" x14ac:dyDescent="0.25">
      <c r="A185" s="151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</row>
    <row r="186" spans="1:20" ht="15.75" customHeight="1" x14ac:dyDescent="0.25">
      <c r="A186" s="151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</row>
    <row r="187" spans="1:20" ht="15.75" customHeight="1" x14ac:dyDescent="0.25">
      <c r="A187" s="151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</row>
    <row r="188" spans="1:20" ht="15.75" customHeight="1" x14ac:dyDescent="0.25">
      <c r="A188" s="151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0" ht="15.75" customHeight="1" x14ac:dyDescent="0.25">
      <c r="A189" s="151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0" ht="15.75" customHeight="1" x14ac:dyDescent="0.25">
      <c r="A190" s="151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0" ht="15.75" customHeight="1" x14ac:dyDescent="0.25">
      <c r="A191" s="151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</row>
    <row r="192" spans="1:20" ht="15.75" customHeight="1" x14ac:dyDescent="0.25">
      <c r="A192" s="151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</row>
    <row r="193" spans="1:20" ht="15.75" customHeight="1" x14ac:dyDescent="0.25">
      <c r="A193" s="151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</row>
    <row r="194" spans="1:20" ht="15.75" customHeight="1" x14ac:dyDescent="0.25">
      <c r="A194" s="151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</row>
    <row r="195" spans="1:20" ht="15.75" customHeight="1" x14ac:dyDescent="0.25">
      <c r="A195" s="151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</row>
    <row r="196" spans="1:20" ht="15.75" customHeight="1" x14ac:dyDescent="0.25">
      <c r="A196" s="151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</row>
    <row r="197" spans="1:20" ht="15.75" customHeight="1" x14ac:dyDescent="0.25">
      <c r="A197" s="151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</row>
    <row r="198" spans="1:20" ht="15.75" customHeight="1" x14ac:dyDescent="0.25">
      <c r="A198" s="15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</row>
    <row r="199" spans="1:20" ht="15.75" customHeight="1" x14ac:dyDescent="0.25">
      <c r="A199" s="151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</row>
    <row r="200" spans="1:20" ht="15.75" customHeight="1" x14ac:dyDescent="0.25">
      <c r="A200" s="151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</row>
    <row r="201" spans="1:20" ht="15.75" customHeight="1" x14ac:dyDescent="0.25">
      <c r="A201" s="151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</row>
    <row r="202" spans="1:20" ht="15.75" customHeight="1" x14ac:dyDescent="0.25">
      <c r="A202" s="151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</row>
    <row r="203" spans="1:20" ht="15.75" customHeight="1" x14ac:dyDescent="0.25">
      <c r="A203" s="151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</row>
    <row r="204" spans="1:20" ht="15.75" customHeight="1" x14ac:dyDescent="0.25">
      <c r="A204" s="151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</row>
    <row r="205" spans="1:20" ht="15.75" customHeight="1" x14ac:dyDescent="0.25">
      <c r="A205" s="151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</row>
    <row r="206" spans="1:20" ht="15.75" customHeight="1" x14ac:dyDescent="0.25">
      <c r="A206" s="151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</row>
    <row r="207" spans="1:20" ht="15.75" customHeight="1" x14ac:dyDescent="0.25">
      <c r="A207" s="151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</row>
    <row r="208" spans="1:20" ht="15.75" customHeight="1" x14ac:dyDescent="0.25">
      <c r="A208" s="151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</row>
    <row r="209" spans="1:20" ht="15.75" customHeight="1" x14ac:dyDescent="0.25">
      <c r="A209" s="151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</row>
    <row r="210" spans="1:20" ht="15.75" customHeight="1" x14ac:dyDescent="0.25">
      <c r="A210" s="151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</row>
    <row r="211" spans="1:20" ht="15.75" customHeight="1" x14ac:dyDescent="0.25">
      <c r="A211" s="151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</row>
    <row r="212" spans="1:20" ht="15.75" customHeight="1" x14ac:dyDescent="0.25">
      <c r="A212" s="151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</row>
    <row r="213" spans="1:20" ht="15.75" customHeight="1" x14ac:dyDescent="0.25">
      <c r="A213" s="151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</row>
    <row r="214" spans="1:20" ht="15.75" customHeight="1" x14ac:dyDescent="0.25">
      <c r="A214" s="151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</row>
    <row r="215" spans="1:20" ht="15.75" customHeight="1" x14ac:dyDescent="0.25">
      <c r="A215" s="151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</row>
    <row r="216" spans="1:20" ht="15.75" customHeight="1" x14ac:dyDescent="0.25">
      <c r="A216" s="151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</row>
    <row r="217" spans="1:20" ht="15.75" customHeight="1" x14ac:dyDescent="0.25">
      <c r="A217" s="151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</row>
    <row r="218" spans="1:20" ht="15.75" customHeight="1" x14ac:dyDescent="0.25">
      <c r="A218" s="151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</row>
    <row r="219" spans="1:20" ht="15.75" customHeight="1" x14ac:dyDescent="0.25">
      <c r="A219" s="151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</row>
    <row r="220" spans="1:20" ht="15.75" customHeight="1" x14ac:dyDescent="0.25">
      <c r="A220" s="151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</row>
    <row r="221" spans="1:20" ht="15.75" customHeight="1" x14ac:dyDescent="0.25">
      <c r="A221" s="151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</row>
    <row r="222" spans="1:20" ht="15.75" customHeight="1" x14ac:dyDescent="0.25">
      <c r="A222" s="151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</row>
    <row r="223" spans="1:20" ht="15.75" customHeight="1" x14ac:dyDescent="0.25">
      <c r="A223" s="151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</row>
    <row r="224" spans="1:20" ht="15.75" customHeight="1" x14ac:dyDescent="0.25">
      <c r="A224" s="151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</row>
    <row r="225" spans="1:20" ht="15.75" customHeight="1" x14ac:dyDescent="0.25">
      <c r="A225" s="151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</row>
    <row r="226" spans="1:20" ht="15.75" customHeight="1" x14ac:dyDescent="0.25">
      <c r="A226" s="151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</row>
    <row r="227" spans="1:20" ht="15.75" customHeight="1" x14ac:dyDescent="0.25">
      <c r="A227" s="151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</row>
    <row r="228" spans="1:20" ht="15.75" customHeight="1" x14ac:dyDescent="0.25">
      <c r="A228" s="151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</row>
    <row r="229" spans="1:20" ht="15.75" customHeight="1" x14ac:dyDescent="0.25">
      <c r="A229" s="151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</row>
    <row r="230" spans="1:20" ht="15.75" customHeight="1" x14ac:dyDescent="0.25">
      <c r="A230" s="151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</row>
    <row r="231" spans="1:20" ht="15.75" customHeight="1" x14ac:dyDescent="0.25">
      <c r="A231" s="151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</row>
    <row r="232" spans="1:20" ht="15.75" customHeight="1" x14ac:dyDescent="0.25">
      <c r="A232" s="151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</row>
    <row r="233" spans="1:20" ht="15.75" customHeight="1" x14ac:dyDescent="0.25">
      <c r="A233" s="151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</row>
    <row r="234" spans="1:20" ht="15.75" customHeight="1" x14ac:dyDescent="0.25">
      <c r="A234" s="151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</row>
    <row r="235" spans="1:20" ht="15.75" customHeight="1" x14ac:dyDescent="0.25">
      <c r="A235" s="151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</row>
    <row r="236" spans="1:20" ht="15.75" customHeight="1" x14ac:dyDescent="0.25">
      <c r="A236" s="151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</row>
    <row r="237" spans="1:20" ht="15.75" customHeight="1" x14ac:dyDescent="0.25">
      <c r="A237" s="151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</row>
    <row r="238" spans="1:20" ht="15.75" customHeight="1" x14ac:dyDescent="0.25">
      <c r="A238" s="151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</row>
    <row r="239" spans="1:20" ht="15.75" customHeight="1" x14ac:dyDescent="0.25">
      <c r="A239" s="151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</row>
    <row r="240" spans="1:20" ht="15.75" customHeight="1" x14ac:dyDescent="0.25">
      <c r="A240" s="151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</row>
    <row r="241" spans="1:20" ht="15.75" customHeight="1" x14ac:dyDescent="0.25">
      <c r="A241" s="151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</row>
    <row r="242" spans="1:20" ht="15.75" customHeight="1" x14ac:dyDescent="0.25">
      <c r="A242" s="151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</row>
    <row r="243" spans="1:20" ht="15.75" customHeight="1" x14ac:dyDescent="0.25">
      <c r="A243" s="151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</row>
    <row r="244" spans="1:20" ht="15.75" customHeight="1" x14ac:dyDescent="0.25">
      <c r="A244" s="151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</row>
    <row r="245" spans="1:20" ht="15.75" customHeight="1" x14ac:dyDescent="0.25">
      <c r="A245" s="151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</row>
    <row r="246" spans="1:20" ht="15.75" customHeight="1" x14ac:dyDescent="0.25">
      <c r="A246" s="151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</row>
    <row r="247" spans="1:20" ht="15.75" customHeight="1" x14ac:dyDescent="0.25">
      <c r="A247" s="151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</row>
    <row r="248" spans="1:20" ht="15.75" customHeight="1" x14ac:dyDescent="0.25">
      <c r="A248" s="151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</row>
    <row r="249" spans="1:20" ht="15.75" customHeight="1" x14ac:dyDescent="0.25">
      <c r="A249" s="151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</row>
    <row r="250" spans="1:20" ht="15.75" customHeight="1" x14ac:dyDescent="0.25">
      <c r="A250" s="15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</row>
    <row r="251" spans="1:20" ht="15.75" customHeight="1" x14ac:dyDescent="0.25">
      <c r="A251" s="151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</row>
    <row r="252" spans="1:20" ht="15.75" customHeight="1" x14ac:dyDescent="0.25">
      <c r="A252" s="151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</row>
    <row r="253" spans="1:20" ht="15.75" customHeight="1" x14ac:dyDescent="0.25">
      <c r="A253" s="151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</row>
    <row r="254" spans="1:20" ht="15.75" customHeight="1" x14ac:dyDescent="0.25">
      <c r="A254" s="151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</row>
    <row r="255" spans="1:20" ht="15.75" customHeight="1" x14ac:dyDescent="0.25">
      <c r="A255" s="151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</row>
    <row r="256" spans="1:20" ht="15.75" customHeight="1" x14ac:dyDescent="0.25">
      <c r="A256" s="151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</row>
    <row r="257" spans="1:20" ht="15.75" customHeight="1" x14ac:dyDescent="0.25">
      <c r="A257" s="151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</row>
    <row r="258" spans="1:20" ht="15.75" customHeight="1" x14ac:dyDescent="0.25">
      <c r="A258" s="151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</row>
    <row r="259" spans="1:20" ht="15.75" customHeight="1" x14ac:dyDescent="0.25">
      <c r="A259" s="151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</row>
    <row r="260" spans="1:20" ht="15.75" customHeight="1" x14ac:dyDescent="0.25">
      <c r="A260" s="151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</row>
    <row r="261" spans="1:20" ht="15.75" customHeight="1" x14ac:dyDescent="0.25">
      <c r="A261" s="151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</row>
    <row r="262" spans="1:20" ht="15.75" customHeight="1" x14ac:dyDescent="0.25">
      <c r="A262" s="151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</row>
    <row r="263" spans="1:20" ht="15.75" customHeight="1" x14ac:dyDescent="0.25">
      <c r="A263" s="151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</row>
    <row r="264" spans="1:20" ht="15.75" customHeight="1" x14ac:dyDescent="0.25">
      <c r="A264" s="151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</row>
    <row r="265" spans="1:20" ht="15.75" customHeight="1" x14ac:dyDescent="0.25">
      <c r="A265" s="143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</row>
    <row r="266" spans="1:20" ht="15.75" customHeight="1" x14ac:dyDescent="0.2"/>
    <row r="267" spans="1:20" ht="15.75" customHeight="1" x14ac:dyDescent="0.2"/>
    <row r="268" spans="1:20" ht="15.75" customHeight="1" x14ac:dyDescent="0.2"/>
    <row r="269" spans="1:20" ht="15.75" customHeight="1" x14ac:dyDescent="0.2"/>
    <row r="270" spans="1:20" ht="15.75" customHeight="1" x14ac:dyDescent="0.2"/>
    <row r="271" spans="1:20" ht="15.75" customHeight="1" x14ac:dyDescent="0.2"/>
    <row r="272" spans="1:20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5">
    <mergeCell ref="G24:H24"/>
    <mergeCell ref="G30:H30"/>
    <mergeCell ref="C31:E32"/>
    <mergeCell ref="G35:H35"/>
    <mergeCell ref="G37:H37"/>
    <mergeCell ref="G26:H26"/>
    <mergeCell ref="B27:E28"/>
    <mergeCell ref="K58:M59"/>
    <mergeCell ref="N58:N59"/>
    <mergeCell ref="A2:A265"/>
    <mergeCell ref="B2:E2"/>
    <mergeCell ref="J2:P5"/>
    <mergeCell ref="B4:H4"/>
    <mergeCell ref="B5:G5"/>
    <mergeCell ref="B10:N10"/>
    <mergeCell ref="K14:N14"/>
    <mergeCell ref="B14:E14"/>
    <mergeCell ref="B17:E17"/>
    <mergeCell ref="G17:H17"/>
    <mergeCell ref="B18:E19"/>
    <mergeCell ref="B21:E21"/>
    <mergeCell ref="G21:H21"/>
    <mergeCell ref="B24:E24"/>
    <mergeCell ref="G52:H52"/>
    <mergeCell ref="K52:M53"/>
    <mergeCell ref="N52:N53"/>
    <mergeCell ref="K55:M56"/>
    <mergeCell ref="N55:N56"/>
    <mergeCell ref="G40:H40"/>
    <mergeCell ref="G43:H43"/>
    <mergeCell ref="G46:H46"/>
    <mergeCell ref="K47:N47"/>
    <mergeCell ref="G49:H49"/>
    <mergeCell ref="K49:M50"/>
    <mergeCell ref="N49:N50"/>
  </mergeCells>
  <dataValidations count="2">
    <dataValidation type="list" allowBlank="1" sqref="G21" xr:uid="{00000000-0002-0000-0000-000000000000}">
      <formula1>$W$22:$W$23</formula1>
    </dataValidation>
    <dataValidation type="list" allowBlank="1" sqref="G17" xr:uid="{00000000-0002-0000-0000-000001000000}">
      <formula1>$W$18:$W$20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1000"/>
  <sheetViews>
    <sheetView workbookViewId="0">
      <selection activeCell="B5" sqref="B5:G5"/>
    </sheetView>
  </sheetViews>
  <sheetFormatPr defaultColWidth="14.42578125" defaultRowHeight="15" customHeight="1" x14ac:dyDescent="0.2"/>
  <cols>
    <col min="1" max="1" width="2.42578125" customWidth="1"/>
    <col min="2" max="2" width="1.42578125" customWidth="1"/>
    <col min="3" max="3" width="16" customWidth="1"/>
    <col min="4" max="4" width="20.42578125" customWidth="1"/>
    <col min="5" max="5" width="14.42578125" customWidth="1"/>
    <col min="6" max="6" width="1.28515625" customWidth="1"/>
    <col min="7" max="7" width="11.5703125" customWidth="1"/>
    <col min="8" max="8" width="16" customWidth="1"/>
    <col min="9" max="9" width="1.7109375" customWidth="1"/>
    <col min="10" max="10" width="3.7109375" customWidth="1"/>
    <col min="11" max="11" width="14" customWidth="1"/>
    <col min="12" max="12" width="15.7109375" customWidth="1"/>
    <col min="13" max="13" width="20.140625" customWidth="1"/>
    <col min="14" max="14" width="13" customWidth="1"/>
    <col min="15" max="15" width="1.28515625" customWidth="1"/>
    <col min="16" max="17" width="4.85546875" customWidth="1"/>
    <col min="18" max="18" width="0.42578125" customWidth="1"/>
    <col min="19" max="19" width="4.5703125" hidden="1" customWidth="1"/>
    <col min="20" max="20" width="8.140625" hidden="1" customWidth="1"/>
    <col min="21" max="21" width="14.42578125" hidden="1" customWidth="1"/>
    <col min="22" max="22" width="4.42578125" hidden="1" customWidth="1"/>
    <col min="23" max="23" width="20.42578125" hidden="1" customWidth="1"/>
    <col min="24" max="29" width="14.42578125" hidden="1" customWidth="1"/>
  </cols>
  <sheetData>
    <row r="1" spans="1:29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3"/>
      <c r="S1" s="3"/>
      <c r="T1" s="3"/>
    </row>
    <row r="2" spans="1:29" ht="46.5" customHeight="1" x14ac:dyDescent="0.7">
      <c r="A2" s="150"/>
      <c r="B2" s="152" t="s">
        <v>90</v>
      </c>
      <c r="C2" s="153"/>
      <c r="D2" s="153"/>
      <c r="E2" s="154"/>
      <c r="F2" s="1"/>
      <c r="G2" s="1"/>
      <c r="H2" s="1"/>
      <c r="I2" s="4"/>
      <c r="J2" s="155"/>
      <c r="K2" s="134"/>
      <c r="L2" s="134"/>
      <c r="M2" s="134"/>
      <c r="N2" s="134"/>
      <c r="O2" s="134"/>
      <c r="P2" s="134"/>
      <c r="Q2" s="4"/>
      <c r="R2" s="4"/>
      <c r="S2" s="4"/>
      <c r="T2" s="4"/>
    </row>
    <row r="3" spans="1:29" ht="9" customHeight="1" x14ac:dyDescent="0.5">
      <c r="A3" s="151"/>
      <c r="B3" s="5"/>
      <c r="C3" s="5"/>
      <c r="D3" s="5"/>
      <c r="E3" s="5"/>
      <c r="F3" s="5"/>
      <c r="G3" s="5"/>
      <c r="H3" s="5"/>
      <c r="I3" s="4"/>
      <c r="J3" s="134"/>
      <c r="K3" s="134"/>
      <c r="L3" s="134"/>
      <c r="M3" s="134"/>
      <c r="N3" s="134"/>
      <c r="O3" s="134"/>
      <c r="P3" s="134"/>
      <c r="Q3" s="4"/>
      <c r="R3" s="4"/>
      <c r="S3" s="4"/>
      <c r="T3" s="4"/>
    </row>
    <row r="4" spans="1:29" ht="35.25" customHeight="1" x14ac:dyDescent="0.2">
      <c r="A4" s="151"/>
      <c r="B4" s="156" t="s">
        <v>0</v>
      </c>
      <c r="C4" s="157"/>
      <c r="D4" s="157"/>
      <c r="E4" s="157"/>
      <c r="F4" s="157"/>
      <c r="G4" s="157"/>
      <c r="H4" s="158"/>
      <c r="I4" s="4"/>
      <c r="J4" s="134"/>
      <c r="K4" s="134"/>
      <c r="L4" s="134"/>
      <c r="M4" s="134"/>
      <c r="N4" s="134"/>
      <c r="O4" s="134"/>
      <c r="P4" s="134"/>
      <c r="Q4" s="4"/>
      <c r="R4" s="4"/>
      <c r="S4" s="4"/>
      <c r="T4" s="4"/>
    </row>
    <row r="5" spans="1:29" ht="28.5" customHeight="1" x14ac:dyDescent="0.2">
      <c r="A5" s="151"/>
      <c r="B5" s="159" t="s">
        <v>82</v>
      </c>
      <c r="C5" s="157"/>
      <c r="D5" s="157"/>
      <c r="E5" s="157"/>
      <c r="F5" s="157"/>
      <c r="G5" s="158"/>
      <c r="H5" s="6"/>
      <c r="I5" s="4"/>
      <c r="J5" s="134"/>
      <c r="K5" s="134"/>
      <c r="L5" s="134"/>
      <c r="M5" s="134"/>
      <c r="N5" s="134"/>
      <c r="O5" s="134"/>
      <c r="P5" s="134"/>
      <c r="Q5" s="4"/>
      <c r="R5" s="4"/>
      <c r="S5" s="4"/>
      <c r="T5" s="4"/>
    </row>
    <row r="6" spans="1:29" ht="9.75" customHeight="1" x14ac:dyDescent="0.2">
      <c r="A6" s="151"/>
      <c r="B6" s="6"/>
      <c r="C6" s="6"/>
      <c r="D6" s="6"/>
      <c r="E6" s="6"/>
      <c r="F6" s="6"/>
      <c r="G6" s="6"/>
      <c r="H6" s="6"/>
      <c r="I6" s="4"/>
      <c r="J6" s="4"/>
      <c r="K6" s="4"/>
      <c r="L6" s="4"/>
      <c r="M6" s="4"/>
      <c r="N6" s="7"/>
      <c r="O6" s="4"/>
      <c r="P6" s="4"/>
      <c r="Q6" s="4"/>
      <c r="R6" s="4"/>
      <c r="S6" s="4"/>
      <c r="T6" s="4"/>
    </row>
    <row r="7" spans="1:29" ht="9" customHeight="1" x14ac:dyDescent="0.2">
      <c r="A7" s="151"/>
      <c r="B7" s="8"/>
      <c r="C7" s="8"/>
      <c r="D7" s="9"/>
      <c r="E7" s="10"/>
      <c r="F7" s="8"/>
      <c r="G7" s="8"/>
      <c r="H7" s="10"/>
      <c r="I7" s="10"/>
      <c r="J7" s="10"/>
      <c r="K7" s="11"/>
      <c r="L7" s="12"/>
      <c r="M7" s="13"/>
      <c r="N7" s="13"/>
      <c r="O7" s="14"/>
      <c r="P7" s="14"/>
      <c r="Q7" s="14"/>
      <c r="R7" s="14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ht="24" customHeight="1" x14ac:dyDescent="0.2">
      <c r="A8" s="151"/>
      <c r="B8" s="16" t="s">
        <v>2</v>
      </c>
      <c r="C8" s="16"/>
      <c r="D8" s="17"/>
      <c r="E8" s="18"/>
      <c r="F8" s="19"/>
      <c r="G8" s="19"/>
      <c r="H8" s="18"/>
      <c r="I8" s="18"/>
      <c r="J8" s="18"/>
      <c r="K8" s="20"/>
      <c r="L8" s="21"/>
      <c r="M8" s="13"/>
      <c r="N8" s="13"/>
      <c r="O8" s="14"/>
      <c r="P8" s="14"/>
      <c r="Q8" s="14"/>
      <c r="R8" s="14"/>
      <c r="S8" s="14"/>
      <c r="T8" s="15"/>
      <c r="U8" s="15" t="s">
        <v>3</v>
      </c>
      <c r="V8" s="15"/>
      <c r="W8" s="15"/>
      <c r="X8" s="15"/>
      <c r="Y8" s="15"/>
      <c r="Z8" s="15"/>
      <c r="AA8" s="15"/>
      <c r="AB8" s="15"/>
      <c r="AC8" s="15"/>
    </row>
    <row r="9" spans="1:29" ht="15.75" customHeight="1" x14ac:dyDescent="0.2">
      <c r="A9" s="151"/>
      <c r="B9" s="19"/>
      <c r="C9" s="19"/>
      <c r="D9" s="17"/>
      <c r="E9" s="18"/>
      <c r="F9" s="19"/>
      <c r="G9" s="19"/>
      <c r="H9" s="18"/>
      <c r="I9" s="18"/>
      <c r="J9" s="18"/>
      <c r="K9" s="20"/>
      <c r="L9" s="12"/>
      <c r="M9" s="13"/>
      <c r="N9" s="13"/>
      <c r="O9" s="14"/>
      <c r="P9" s="14"/>
      <c r="Q9" s="14"/>
      <c r="R9" s="14"/>
      <c r="S9" s="14"/>
      <c r="T9" s="15"/>
      <c r="U9" s="15" t="s">
        <v>4</v>
      </c>
      <c r="V9" s="15"/>
      <c r="W9" s="15"/>
      <c r="X9" s="15"/>
      <c r="Y9" s="15"/>
      <c r="Z9" s="15"/>
      <c r="AA9" s="15"/>
      <c r="AB9" s="15"/>
      <c r="AC9" s="15"/>
    </row>
    <row r="10" spans="1:29" ht="30.75" customHeight="1" x14ac:dyDescent="0.2">
      <c r="A10" s="151"/>
      <c r="B10" s="160" t="s">
        <v>91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22"/>
      <c r="P10" s="22"/>
      <c r="Q10" s="22"/>
      <c r="R10" s="22"/>
      <c r="S10" s="22"/>
      <c r="T10" s="22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21" customHeight="1" x14ac:dyDescent="0.2">
      <c r="A11" s="15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9.5" customHeight="1" x14ac:dyDescent="0.2">
      <c r="A12" s="151"/>
      <c r="B12" s="16" t="s">
        <v>5</v>
      </c>
      <c r="C12" s="16"/>
      <c r="D12" s="16"/>
      <c r="E12" s="16"/>
      <c r="F12" s="16"/>
      <c r="G12" s="16"/>
      <c r="H12" s="23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21.75" customHeight="1" x14ac:dyDescent="0.2">
      <c r="A13" s="151"/>
      <c r="B13" s="24"/>
      <c r="C13" s="2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9" ht="21.75" customHeight="1" x14ac:dyDescent="0.2">
      <c r="A14" s="151"/>
      <c r="B14" s="162" t="s">
        <v>6</v>
      </c>
      <c r="C14" s="134"/>
      <c r="D14" s="134"/>
      <c r="E14" s="134"/>
      <c r="F14" s="22"/>
      <c r="G14" s="22"/>
      <c r="H14" s="22"/>
      <c r="I14" s="22"/>
      <c r="J14" s="22"/>
      <c r="K14" s="161" t="s">
        <v>7</v>
      </c>
      <c r="L14" s="134"/>
      <c r="M14" s="134"/>
      <c r="N14" s="134"/>
      <c r="O14" s="22"/>
      <c r="P14" s="22"/>
      <c r="Q14" s="22"/>
      <c r="R14" s="22"/>
      <c r="S14" s="22"/>
      <c r="T14" s="22"/>
    </row>
    <row r="15" spans="1:29" ht="3" customHeight="1" x14ac:dyDescent="0.2">
      <c r="A15" s="151"/>
      <c r="B15" s="24"/>
      <c r="C15" s="2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9" ht="6" customHeight="1" x14ac:dyDescent="0.2">
      <c r="A16" s="151"/>
      <c r="B16" s="25"/>
      <c r="C16" s="26"/>
      <c r="D16" s="27"/>
      <c r="E16" s="27"/>
      <c r="F16" s="27"/>
      <c r="G16" s="27"/>
      <c r="H16" s="27"/>
      <c r="I16" s="28"/>
      <c r="J16" s="22"/>
      <c r="K16" s="29"/>
      <c r="L16" s="30"/>
      <c r="M16" s="31"/>
      <c r="N16" s="31"/>
      <c r="O16" s="32"/>
      <c r="P16" s="22"/>
      <c r="Q16" s="22"/>
      <c r="R16" s="22"/>
      <c r="S16" s="22"/>
      <c r="T16" s="22"/>
    </row>
    <row r="17" spans="1:28" ht="15.75" customHeight="1" x14ac:dyDescent="0.25">
      <c r="A17" s="151"/>
      <c r="B17" s="163" t="s">
        <v>8</v>
      </c>
      <c r="C17" s="134"/>
      <c r="D17" s="134"/>
      <c r="E17" s="134"/>
      <c r="F17" s="24"/>
      <c r="G17" s="164" t="s">
        <v>4</v>
      </c>
      <c r="H17" s="131"/>
      <c r="I17" s="33"/>
      <c r="J17" s="24"/>
      <c r="K17" s="34" t="s">
        <v>9</v>
      </c>
      <c r="L17" s="35"/>
      <c r="M17" s="36" t="s">
        <v>10</v>
      </c>
      <c r="N17" s="36" t="s">
        <v>11</v>
      </c>
      <c r="O17" s="37"/>
      <c r="P17" s="22"/>
      <c r="Q17" s="22"/>
      <c r="R17" s="22"/>
      <c r="S17" s="22"/>
      <c r="T17" s="22"/>
    </row>
    <row r="18" spans="1:28" ht="16.5" customHeight="1" x14ac:dyDescent="0.25">
      <c r="A18" s="151"/>
      <c r="B18" s="165" t="s">
        <v>12</v>
      </c>
      <c r="C18" s="145"/>
      <c r="D18" s="145"/>
      <c r="E18" s="146"/>
      <c r="F18" s="38"/>
      <c r="G18" s="39"/>
      <c r="H18" s="40"/>
      <c r="I18" s="41"/>
      <c r="J18" s="22"/>
      <c r="K18" s="42"/>
      <c r="L18" s="43">
        <f>M18</f>
        <v>0</v>
      </c>
      <c r="M18" s="44">
        <f>G24+G30+G35+G40+G43</f>
        <v>0</v>
      </c>
      <c r="N18" s="40"/>
      <c r="O18" s="45"/>
      <c r="P18" s="22"/>
      <c r="Q18" s="22"/>
      <c r="R18" s="22"/>
      <c r="S18" s="22"/>
      <c r="T18" s="22"/>
      <c r="W18" s="46" t="s">
        <v>13</v>
      </c>
    </row>
    <row r="19" spans="1:28" ht="18" customHeight="1" x14ac:dyDescent="0.25">
      <c r="A19" s="151"/>
      <c r="B19" s="166"/>
      <c r="C19" s="167"/>
      <c r="D19" s="167"/>
      <c r="E19" s="168"/>
      <c r="F19" s="22"/>
      <c r="G19" s="40"/>
      <c r="H19" s="40"/>
      <c r="I19" s="41"/>
      <c r="J19" s="22"/>
      <c r="K19" s="42"/>
      <c r="L19" s="43">
        <f>N19</f>
        <v>0</v>
      </c>
      <c r="M19" s="44"/>
      <c r="N19" s="43">
        <f>G52+G53</f>
        <v>0</v>
      </c>
      <c r="O19" s="45"/>
      <c r="P19" s="22"/>
      <c r="Q19" s="22"/>
      <c r="R19" s="22"/>
      <c r="S19" s="22"/>
      <c r="T19" s="22"/>
      <c r="W19" s="46" t="s">
        <v>14</v>
      </c>
    </row>
    <row r="20" spans="1:28" ht="14.25" customHeight="1" x14ac:dyDescent="0.25">
      <c r="A20" s="151"/>
      <c r="B20" s="47"/>
      <c r="C20" s="48"/>
      <c r="D20" s="48"/>
      <c r="E20" s="48"/>
      <c r="F20" s="22"/>
      <c r="G20" s="40"/>
      <c r="H20" s="40"/>
      <c r="I20" s="41"/>
      <c r="J20" s="49"/>
      <c r="K20" s="50" t="s">
        <v>15</v>
      </c>
      <c r="L20" s="51">
        <f t="shared" ref="L20:N20" si="0">L18+L19</f>
        <v>0</v>
      </c>
      <c r="M20" s="52">
        <f t="shared" si="0"/>
        <v>0</v>
      </c>
      <c r="N20" s="51">
        <f t="shared" si="0"/>
        <v>0</v>
      </c>
      <c r="O20" s="53"/>
      <c r="P20" s="22"/>
      <c r="Q20" s="22"/>
      <c r="R20" s="22"/>
      <c r="S20" s="22"/>
      <c r="T20" s="22"/>
      <c r="W20" s="46" t="s">
        <v>4</v>
      </c>
    </row>
    <row r="21" spans="1:28" ht="15.75" customHeight="1" x14ac:dyDescent="0.25">
      <c r="A21" s="151"/>
      <c r="B21" s="163" t="s">
        <v>16</v>
      </c>
      <c r="C21" s="134"/>
      <c r="D21" s="134"/>
      <c r="E21" s="134"/>
      <c r="F21" s="22"/>
      <c r="G21" s="164" t="s">
        <v>4</v>
      </c>
      <c r="H21" s="131"/>
      <c r="I21" s="41"/>
      <c r="J21" s="22"/>
      <c r="K21" s="54" t="s">
        <v>17</v>
      </c>
      <c r="L21" s="55">
        <f>IF(X38&lt;L20,(IF(IF(AA32&gt;100000,AA42-(ROUND((AA32-100000)/2,0)),AA42)&lt;0,0,IF(AA32&gt;100000,AA42-(ROUND((AA32-100000)/2,0)),AA42))),X38)</f>
        <v>12500</v>
      </c>
      <c r="M21" s="56">
        <f>IF((M20&lt;=L21),M20,L21)</f>
        <v>0</v>
      </c>
      <c r="N21" s="57">
        <f>L21-M21</f>
        <v>12500</v>
      </c>
      <c r="O21" s="45"/>
      <c r="P21" s="22"/>
      <c r="Q21" s="22"/>
      <c r="R21" s="22"/>
      <c r="S21" s="22"/>
      <c r="T21" s="22"/>
      <c r="W21" s="46"/>
    </row>
    <row r="22" spans="1:28" ht="15.75" customHeight="1" x14ac:dyDescent="0.25">
      <c r="A22" s="151"/>
      <c r="B22" s="58"/>
      <c r="C22" s="59"/>
      <c r="D22" s="59"/>
      <c r="E22" s="59"/>
      <c r="F22" s="60"/>
      <c r="G22" s="60"/>
      <c r="H22" s="60"/>
      <c r="I22" s="61"/>
      <c r="J22" s="60"/>
      <c r="K22" s="54" t="s">
        <v>18</v>
      </c>
      <c r="L22" s="62">
        <f>IF((L20-L21)&lt;0,0,(L20-L21))</f>
        <v>0</v>
      </c>
      <c r="M22" s="62">
        <f>M20-M21</f>
        <v>0</v>
      </c>
      <c r="N22" s="62">
        <f>IF((N20-N21)&lt;0,0,N20-N21)</f>
        <v>0</v>
      </c>
      <c r="O22" s="63"/>
      <c r="P22" s="60"/>
      <c r="Q22" s="60"/>
      <c r="R22" s="60"/>
      <c r="S22" s="60"/>
      <c r="T22" s="60"/>
      <c r="W22" s="46" t="s">
        <v>19</v>
      </c>
    </row>
    <row r="23" spans="1:28" ht="15.75" customHeight="1" x14ac:dyDescent="0.25">
      <c r="A23" s="151"/>
      <c r="B23" s="64"/>
      <c r="C23" s="65"/>
      <c r="D23" s="60"/>
      <c r="E23" s="60"/>
      <c r="F23" s="60"/>
      <c r="G23" s="60"/>
      <c r="H23" s="60"/>
      <c r="I23" s="61"/>
      <c r="J23" s="60"/>
      <c r="K23" s="42"/>
      <c r="L23" s="60"/>
      <c r="M23" s="60"/>
      <c r="N23" s="60"/>
      <c r="O23" s="66"/>
      <c r="P23" s="60"/>
      <c r="Q23" s="60"/>
      <c r="R23" s="60"/>
      <c r="S23" s="60"/>
      <c r="T23" s="60"/>
      <c r="W23" s="46" t="s">
        <v>4</v>
      </c>
    </row>
    <row r="24" spans="1:28" ht="15.75" customHeight="1" x14ac:dyDescent="0.25">
      <c r="A24" s="151"/>
      <c r="B24" s="163" t="s">
        <v>20</v>
      </c>
      <c r="C24" s="134"/>
      <c r="D24" s="134"/>
      <c r="E24" s="134"/>
      <c r="F24" s="60"/>
      <c r="G24" s="169"/>
      <c r="H24" s="131"/>
      <c r="I24" s="61"/>
      <c r="J24" s="60"/>
      <c r="K24" s="67"/>
      <c r="L24" s="68" t="s">
        <v>21</v>
      </c>
      <c r="M24" s="69">
        <f>IF(G35&lt;(AA54+AA55),(IF(M22&lt;G35,(M22),G35)),(IF(M22&lt;=(AA54+AA55),AA54+AA55,(IF(M22&gt;(AA54+AA55),AA54+AA55,M22)))))</f>
        <v>0</v>
      </c>
      <c r="N24" s="60"/>
      <c r="O24" s="66"/>
      <c r="P24" s="60"/>
      <c r="Q24" s="60"/>
      <c r="R24" s="60"/>
      <c r="S24" s="60"/>
      <c r="T24" s="60"/>
    </row>
    <row r="25" spans="1:28" ht="18.75" customHeight="1" x14ac:dyDescent="0.25">
      <c r="A25" s="151"/>
      <c r="B25" s="64"/>
      <c r="C25" s="65"/>
      <c r="D25" s="60"/>
      <c r="E25" s="60"/>
      <c r="F25" s="60"/>
      <c r="G25" s="60"/>
      <c r="H25" s="60"/>
      <c r="I25" s="61"/>
      <c r="J25" s="60"/>
      <c r="K25" s="67"/>
      <c r="L25" s="68" t="s">
        <v>22</v>
      </c>
      <c r="M25" s="70">
        <f>IF(M22&lt;=AA43-M24,M22-M24,AA43-M24)</f>
        <v>0</v>
      </c>
      <c r="N25" s="71">
        <f>ROUND(M25*0.2,2)</f>
        <v>0</v>
      </c>
      <c r="O25" s="66"/>
      <c r="P25" s="60"/>
      <c r="Q25" s="60"/>
      <c r="R25" s="60"/>
      <c r="S25" s="60"/>
      <c r="T25" s="60"/>
    </row>
    <row r="26" spans="1:28" ht="15.75" customHeight="1" x14ac:dyDescent="0.25">
      <c r="A26" s="151"/>
      <c r="B26" s="72"/>
      <c r="C26" s="73"/>
      <c r="D26" s="73"/>
      <c r="E26" s="74" t="s">
        <v>23</v>
      </c>
      <c r="F26" s="59"/>
      <c r="G26" s="169"/>
      <c r="H26" s="131"/>
      <c r="I26" s="61"/>
      <c r="J26" s="60"/>
      <c r="K26" s="67"/>
      <c r="L26" s="68" t="s">
        <v>24</v>
      </c>
      <c r="M26" s="75">
        <f>IF((M22-M25-M24)&lt;(X40-X39),(M22-M25-M24),(X40-X39))</f>
        <v>0</v>
      </c>
      <c r="N26" s="71">
        <f>ROUND(M26*0.4,2)</f>
        <v>0</v>
      </c>
      <c r="O26" s="66"/>
      <c r="P26" s="60"/>
      <c r="Q26" s="60"/>
      <c r="R26" s="60"/>
      <c r="S26" s="60"/>
      <c r="T26" s="60"/>
    </row>
    <row r="27" spans="1:28" ht="16.5" customHeight="1" x14ac:dyDescent="0.25">
      <c r="A27" s="151"/>
      <c r="B27" s="165" t="s">
        <v>25</v>
      </c>
      <c r="C27" s="145"/>
      <c r="D27" s="145"/>
      <c r="E27" s="146"/>
      <c r="F27" s="38"/>
      <c r="G27" s="39"/>
      <c r="H27" s="39"/>
      <c r="I27" s="76"/>
      <c r="J27" s="38"/>
      <c r="K27" s="67"/>
      <c r="L27" s="68" t="s">
        <v>26</v>
      </c>
      <c r="M27" s="70">
        <f>M22-M26-M25-M24</f>
        <v>0</v>
      </c>
      <c r="N27" s="71">
        <f>ROUND(M27*0.45,2)</f>
        <v>0</v>
      </c>
      <c r="O27" s="66"/>
      <c r="P27" s="60"/>
      <c r="Q27" s="60"/>
      <c r="R27" s="60"/>
      <c r="S27" s="60"/>
      <c r="T27" s="60"/>
    </row>
    <row r="28" spans="1:28" ht="15.75" customHeight="1" x14ac:dyDescent="0.25">
      <c r="A28" s="151"/>
      <c r="B28" s="166"/>
      <c r="C28" s="167"/>
      <c r="D28" s="167"/>
      <c r="E28" s="168"/>
      <c r="F28" s="60"/>
      <c r="G28" s="60"/>
      <c r="H28" s="60"/>
      <c r="I28" s="61"/>
      <c r="J28" s="60"/>
      <c r="K28" s="77"/>
      <c r="L28" s="68"/>
      <c r="M28" s="60"/>
      <c r="N28" s="60"/>
      <c r="O28" s="66"/>
      <c r="P28" s="60"/>
      <c r="Q28" s="60"/>
      <c r="R28" s="60"/>
      <c r="S28" s="60"/>
      <c r="T28" s="60"/>
    </row>
    <row r="29" spans="1:28" ht="15.75" customHeight="1" x14ac:dyDescent="0.25">
      <c r="A29" s="151"/>
      <c r="B29" s="58"/>
      <c r="C29" s="59"/>
      <c r="D29" s="59"/>
      <c r="E29" s="59"/>
      <c r="F29" s="60"/>
      <c r="G29" s="60"/>
      <c r="H29" s="60"/>
      <c r="I29" s="61"/>
      <c r="J29" s="60"/>
      <c r="K29" s="77"/>
      <c r="L29" s="78" t="s">
        <v>27</v>
      </c>
      <c r="M29" s="70">
        <f>IF(N22&gt;AA56,AA56,N22)</f>
        <v>0</v>
      </c>
      <c r="N29" s="71">
        <f>M29*0</f>
        <v>0</v>
      </c>
      <c r="O29" s="66"/>
      <c r="P29" s="60"/>
      <c r="Q29" s="60"/>
      <c r="R29" s="60"/>
      <c r="S29" s="60"/>
      <c r="T29" s="60"/>
      <c r="W29" s="79"/>
      <c r="X29" s="79"/>
      <c r="Y29" s="79"/>
      <c r="Z29" s="79"/>
      <c r="AA29" s="79"/>
      <c r="AB29" s="79"/>
    </row>
    <row r="30" spans="1:28" ht="19.5" customHeight="1" x14ac:dyDescent="0.25">
      <c r="A30" s="151"/>
      <c r="B30" s="80"/>
      <c r="C30" s="38"/>
      <c r="D30" s="38"/>
      <c r="E30" s="74" t="s">
        <v>28</v>
      </c>
      <c r="F30" s="81"/>
      <c r="G30" s="170"/>
      <c r="H30" s="131"/>
      <c r="I30" s="61"/>
      <c r="J30" s="60"/>
      <c r="K30" s="77"/>
      <c r="L30" s="78" t="s">
        <v>29</v>
      </c>
      <c r="M30" s="82">
        <f>IF((N22-M29)&gt;AA45,AA45,N22-M29)</f>
        <v>0</v>
      </c>
      <c r="N30" s="60">
        <f>ROUND(M30*7.5%,2)</f>
        <v>0</v>
      </c>
      <c r="O30" s="66"/>
      <c r="P30" s="60"/>
      <c r="Q30" s="60"/>
      <c r="R30" s="60"/>
      <c r="S30" s="60"/>
      <c r="T30" s="60"/>
      <c r="W30" s="79"/>
      <c r="X30" s="79"/>
      <c r="Y30" s="79"/>
      <c r="Z30" s="83" t="s">
        <v>30</v>
      </c>
      <c r="AA30" s="83">
        <f>G46/0.8</f>
        <v>0</v>
      </c>
      <c r="AB30" s="79"/>
    </row>
    <row r="31" spans="1:28" ht="15.75" customHeight="1" x14ac:dyDescent="0.25">
      <c r="A31" s="151"/>
      <c r="B31" s="84"/>
      <c r="C31" s="171" t="s">
        <v>31</v>
      </c>
      <c r="D31" s="145"/>
      <c r="E31" s="146"/>
      <c r="F31" s="60"/>
      <c r="G31" s="60"/>
      <c r="H31" s="60"/>
      <c r="I31" s="61"/>
      <c r="J31" s="60"/>
      <c r="K31" s="77"/>
      <c r="L31" s="78" t="s">
        <v>32</v>
      </c>
      <c r="M31" s="70">
        <f>IF((N22-M30-M29)&gt;AA46,AA46,N22-M30-M29)</f>
        <v>0</v>
      </c>
      <c r="N31" s="60">
        <f>ROUND(M31*32.5%,2)</f>
        <v>0</v>
      </c>
      <c r="O31" s="66"/>
      <c r="P31" s="60"/>
      <c r="Q31" s="60"/>
      <c r="R31" s="60"/>
      <c r="S31" s="60"/>
      <c r="T31" s="60"/>
      <c r="W31" s="79"/>
      <c r="X31" s="79"/>
      <c r="Y31" s="79"/>
      <c r="Z31" s="83" t="s">
        <v>33</v>
      </c>
      <c r="AA31" s="83">
        <f>G49/0.8</f>
        <v>0</v>
      </c>
      <c r="AB31" s="79" t="str">
        <f>TEXT(AA31,"#,###")</f>
        <v/>
      </c>
    </row>
    <row r="32" spans="1:28" ht="15.75" customHeight="1" x14ac:dyDescent="0.25">
      <c r="A32" s="151"/>
      <c r="B32" s="84"/>
      <c r="C32" s="172"/>
      <c r="D32" s="167"/>
      <c r="E32" s="168"/>
      <c r="F32" s="60"/>
      <c r="G32" s="60"/>
      <c r="H32" s="60"/>
      <c r="I32" s="61"/>
      <c r="J32" s="60"/>
      <c r="K32" s="77"/>
      <c r="L32" s="78" t="s">
        <v>34</v>
      </c>
      <c r="M32" s="75">
        <f>N22-M29-M30-M31</f>
        <v>0</v>
      </c>
      <c r="N32" s="71">
        <f>ROUND(M32*38.1%,2)</f>
        <v>0</v>
      </c>
      <c r="O32" s="66"/>
      <c r="P32" s="60"/>
      <c r="Q32" s="60"/>
      <c r="R32" s="60"/>
      <c r="S32" s="60"/>
      <c r="T32" s="60"/>
      <c r="W32" s="79"/>
      <c r="X32" s="79"/>
      <c r="Y32" s="79"/>
      <c r="Z32" s="83" t="s">
        <v>35</v>
      </c>
      <c r="AA32" s="83">
        <f>L20-AA30-AA31</f>
        <v>0</v>
      </c>
      <c r="AB32" s="79"/>
    </row>
    <row r="33" spans="1:28" ht="15.75" customHeight="1" x14ac:dyDescent="0.25">
      <c r="A33" s="151"/>
      <c r="B33" s="58"/>
      <c r="C33" s="59"/>
      <c r="D33" s="59"/>
      <c r="E33" s="59"/>
      <c r="F33" s="60"/>
      <c r="G33" s="60"/>
      <c r="H33" s="60"/>
      <c r="I33" s="61"/>
      <c r="J33" s="60"/>
      <c r="K33" s="77"/>
      <c r="L33" s="78"/>
      <c r="M33" s="60"/>
      <c r="N33" s="60"/>
      <c r="O33" s="66"/>
      <c r="P33" s="60"/>
      <c r="Q33" s="60"/>
      <c r="R33" s="60"/>
      <c r="S33" s="60"/>
      <c r="T33" s="60"/>
      <c r="W33" s="79"/>
      <c r="X33" s="79"/>
      <c r="Y33" s="79"/>
      <c r="Z33" s="83" t="s">
        <v>36</v>
      </c>
      <c r="AA33" s="83">
        <f>IF(L20&lt;210001,(IF(IF(L20&gt;150000,X43-(ROUNDDOWN((L20-150000)/2,0)),X43)&lt;0,0,IF(L20&gt;150000,X43-(ROUNDDOWN((L20-150000)/2,0)),X43))),10000)</f>
        <v>40000</v>
      </c>
      <c r="AB33" s="79" t="str">
        <f>TEXT(AA33,"#,###")</f>
        <v>40,000</v>
      </c>
    </row>
    <row r="34" spans="1:28" ht="15.75" customHeight="1" x14ac:dyDescent="0.25">
      <c r="A34" s="151"/>
      <c r="B34" s="58"/>
      <c r="C34" s="59"/>
      <c r="D34" s="59"/>
      <c r="E34" s="59"/>
      <c r="F34" s="60"/>
      <c r="G34" s="60"/>
      <c r="H34" s="60"/>
      <c r="I34" s="61"/>
      <c r="J34" s="60"/>
      <c r="K34" s="77"/>
      <c r="L34" s="78" t="s">
        <v>37</v>
      </c>
      <c r="M34" s="60"/>
      <c r="N34" s="71">
        <f>IF(G17="No",0,IF(G17="Yes - Plan 1",AA58,IF(G17="Yes - Plan 2",AA59,AA60)))</f>
        <v>0</v>
      </c>
      <c r="O34" s="66"/>
      <c r="P34" s="60"/>
      <c r="Q34" s="60"/>
      <c r="R34" s="60"/>
      <c r="S34" s="60"/>
      <c r="T34" s="60"/>
      <c r="W34" s="79"/>
      <c r="X34" s="79"/>
      <c r="Y34" s="79"/>
      <c r="Z34" s="83" t="s">
        <v>38</v>
      </c>
      <c r="AA34" s="83">
        <f>G24+G30+G40+G43+G52</f>
        <v>0</v>
      </c>
      <c r="AB34" s="79"/>
    </row>
    <row r="35" spans="1:28" ht="18" customHeight="1" x14ac:dyDescent="0.25">
      <c r="A35" s="151"/>
      <c r="B35" s="80"/>
      <c r="C35" s="38"/>
      <c r="D35" s="38"/>
      <c r="E35" s="74" t="s">
        <v>39</v>
      </c>
      <c r="F35" s="38"/>
      <c r="G35" s="130"/>
      <c r="H35" s="131"/>
      <c r="I35" s="61"/>
      <c r="J35" s="60"/>
      <c r="K35" s="77"/>
      <c r="L35" s="78" t="s">
        <v>40</v>
      </c>
      <c r="M35" s="60"/>
      <c r="N35" s="85">
        <f>IF(G21="No",0,AA60)</f>
        <v>0</v>
      </c>
      <c r="O35" s="66"/>
      <c r="P35" s="60"/>
      <c r="Q35" s="60"/>
      <c r="R35" s="60"/>
      <c r="S35" s="60"/>
      <c r="T35" s="60"/>
      <c r="W35" s="79"/>
      <c r="X35" s="79"/>
      <c r="Y35" s="79"/>
      <c r="Z35" s="79"/>
      <c r="AA35" s="79"/>
      <c r="AB35" s="79"/>
    </row>
    <row r="36" spans="1:28" ht="18" customHeight="1" x14ac:dyDescent="0.25">
      <c r="A36" s="151"/>
      <c r="B36" s="64"/>
      <c r="C36" s="65"/>
      <c r="D36" s="65"/>
      <c r="E36" s="65"/>
      <c r="F36" s="60"/>
      <c r="G36" s="60"/>
      <c r="H36" s="60"/>
      <c r="I36" s="61"/>
      <c r="J36" s="60"/>
      <c r="K36" s="77"/>
      <c r="L36" s="78"/>
      <c r="M36" s="60"/>
      <c r="N36" s="60"/>
      <c r="O36" s="66"/>
      <c r="P36" s="60"/>
      <c r="Q36" s="60"/>
      <c r="R36" s="60"/>
      <c r="S36" s="60"/>
      <c r="T36" s="60"/>
      <c r="W36" s="79"/>
      <c r="X36" s="79"/>
      <c r="Y36" s="79"/>
      <c r="Z36" s="83"/>
      <c r="AA36" s="79"/>
      <c r="AB36" s="79"/>
    </row>
    <row r="37" spans="1:28" ht="15.75" customHeight="1" x14ac:dyDescent="0.25">
      <c r="A37" s="151"/>
      <c r="B37" s="64"/>
      <c r="C37" s="65"/>
      <c r="D37" s="60"/>
      <c r="E37" s="74" t="s">
        <v>41</v>
      </c>
      <c r="F37" s="81"/>
      <c r="G37" s="130"/>
      <c r="H37" s="131"/>
      <c r="I37" s="61"/>
      <c r="J37" s="60"/>
      <c r="K37" s="77"/>
      <c r="L37" s="78" t="s">
        <v>42</v>
      </c>
      <c r="M37" s="60"/>
      <c r="N37" s="71">
        <f>N24+N25+N26+N27+N29+N30+N31+N32</f>
        <v>0</v>
      </c>
      <c r="O37" s="66"/>
      <c r="P37" s="60"/>
      <c r="Q37" s="60"/>
      <c r="R37" s="60"/>
      <c r="S37" s="60"/>
      <c r="T37" s="60"/>
      <c r="W37" s="79"/>
      <c r="X37" s="86"/>
      <c r="Y37" s="79"/>
      <c r="Z37" s="83" t="s">
        <v>43</v>
      </c>
      <c r="AA37" s="83">
        <f>IF(AA34&gt;AA33,AA33,AA34)</f>
        <v>0</v>
      </c>
      <c r="AB37" s="79"/>
    </row>
    <row r="38" spans="1:28" ht="15.75" customHeight="1" x14ac:dyDescent="0.25">
      <c r="A38" s="151"/>
      <c r="B38" s="64"/>
      <c r="C38" s="65"/>
      <c r="D38" s="60"/>
      <c r="E38" s="60"/>
      <c r="F38" s="60"/>
      <c r="G38" s="60"/>
      <c r="H38" s="60"/>
      <c r="I38" s="61"/>
      <c r="J38" s="60"/>
      <c r="K38" s="77"/>
      <c r="L38" s="78" t="s">
        <v>44</v>
      </c>
      <c r="M38" s="87" t="s">
        <v>45</v>
      </c>
      <c r="N38" s="71">
        <f>IF(G24&lt;9500,0,IF(G24&gt;50000,(((50000-9500)*0.12)+(G24-50000)*0.02),(G24-9500)*0.12))</f>
        <v>0</v>
      </c>
      <c r="O38" s="66"/>
      <c r="P38" s="60"/>
      <c r="Q38" s="60"/>
      <c r="R38" s="60"/>
      <c r="S38" s="60"/>
      <c r="T38" s="60"/>
      <c r="W38" s="88" t="s">
        <v>46</v>
      </c>
      <c r="X38" s="89">
        <v>12500</v>
      </c>
      <c r="Y38" s="79"/>
      <c r="Z38" s="83" t="s">
        <v>47</v>
      </c>
      <c r="AA38" s="83">
        <f>IF(AA30&gt;AA37,AA37,AA30)</f>
        <v>0</v>
      </c>
      <c r="AB38" s="79" t="str">
        <f t="shared" ref="AB38:AB39" si="1">TEXT(AA38,"#,###")</f>
        <v/>
      </c>
    </row>
    <row r="39" spans="1:28" ht="16.5" customHeight="1" x14ac:dyDescent="0.25">
      <c r="A39" s="151"/>
      <c r="B39" s="58"/>
      <c r="C39" s="59"/>
      <c r="D39" s="59"/>
      <c r="E39" s="73"/>
      <c r="F39" s="60"/>
      <c r="G39" s="60"/>
      <c r="H39" s="60"/>
      <c r="I39" s="61"/>
      <c r="J39" s="60"/>
      <c r="K39" s="77"/>
      <c r="L39" s="78" t="s">
        <v>48</v>
      </c>
      <c r="M39" s="87" t="s">
        <v>49</v>
      </c>
      <c r="N39" s="90">
        <f>IF(G40&gt;6475,3.05*52,0)</f>
        <v>0</v>
      </c>
      <c r="O39" s="66"/>
      <c r="P39" s="60"/>
      <c r="Q39" s="60"/>
      <c r="R39" s="60"/>
      <c r="S39" s="60"/>
      <c r="T39" s="60"/>
      <c r="W39" s="88" t="s">
        <v>50</v>
      </c>
      <c r="X39" s="91">
        <v>37500</v>
      </c>
      <c r="Y39" s="79"/>
      <c r="Z39" s="83" t="s">
        <v>51</v>
      </c>
      <c r="AA39" s="83">
        <f>AA31+AA38</f>
        <v>0</v>
      </c>
      <c r="AB39" s="79" t="str">
        <f t="shared" si="1"/>
        <v/>
      </c>
    </row>
    <row r="40" spans="1:28" ht="15.75" customHeight="1" x14ac:dyDescent="0.25">
      <c r="A40" s="151"/>
      <c r="B40" s="92"/>
      <c r="C40" s="60"/>
      <c r="D40" s="60"/>
      <c r="E40" s="74" t="s">
        <v>52</v>
      </c>
      <c r="F40" s="60"/>
      <c r="G40" s="130"/>
      <c r="H40" s="131"/>
      <c r="I40" s="61"/>
      <c r="J40" s="60"/>
      <c r="K40" s="77"/>
      <c r="L40" s="78" t="s">
        <v>53</v>
      </c>
      <c r="M40" s="87" t="s">
        <v>49</v>
      </c>
      <c r="N40" s="71">
        <f>IF(((G40-9500)*9%)&lt;0,0,((G40-9500)*9%))</f>
        <v>0</v>
      </c>
      <c r="O40" s="66"/>
      <c r="P40" s="60"/>
      <c r="Q40" s="60"/>
      <c r="R40" s="60"/>
      <c r="S40" s="60"/>
      <c r="T40" s="60"/>
      <c r="W40" s="88" t="s">
        <v>54</v>
      </c>
      <c r="X40" s="91">
        <v>150000</v>
      </c>
      <c r="Y40" s="79"/>
      <c r="Z40" s="79"/>
      <c r="AA40" s="79"/>
      <c r="AB40" s="79"/>
    </row>
    <row r="41" spans="1:28" ht="15.75" customHeight="1" x14ac:dyDescent="0.25">
      <c r="A41" s="151"/>
      <c r="B41" s="92"/>
      <c r="C41" s="60"/>
      <c r="D41" s="60"/>
      <c r="E41" s="60"/>
      <c r="F41" s="60"/>
      <c r="G41" s="60"/>
      <c r="H41" s="60"/>
      <c r="I41" s="61"/>
      <c r="J41" s="60"/>
      <c r="K41" s="93"/>
      <c r="L41" s="90"/>
      <c r="M41" s="60"/>
      <c r="N41" s="60"/>
      <c r="O41" s="66"/>
      <c r="P41" s="60"/>
      <c r="Q41" s="60"/>
      <c r="R41" s="60"/>
      <c r="S41" s="60"/>
      <c r="T41" s="60"/>
      <c r="W41" s="79"/>
      <c r="X41" s="79"/>
      <c r="Y41" s="79"/>
      <c r="Z41" s="83"/>
      <c r="AA41" s="79"/>
      <c r="AB41" s="79"/>
    </row>
    <row r="42" spans="1:28" ht="15.75" customHeight="1" x14ac:dyDescent="0.25">
      <c r="A42" s="151"/>
      <c r="B42" s="58"/>
      <c r="C42" s="59"/>
      <c r="D42" s="59"/>
      <c r="E42" s="73"/>
      <c r="F42" s="60"/>
      <c r="G42" s="60"/>
      <c r="H42" s="60"/>
      <c r="I42" s="61"/>
      <c r="J42" s="60"/>
      <c r="K42" s="77"/>
      <c r="L42" s="68" t="s">
        <v>55</v>
      </c>
      <c r="M42" s="69" t="s">
        <v>56</v>
      </c>
      <c r="N42" s="75">
        <f>-G26</f>
        <v>0</v>
      </c>
      <c r="O42" s="66"/>
      <c r="P42" s="60"/>
      <c r="Q42" s="60"/>
      <c r="R42" s="60"/>
      <c r="S42" s="60"/>
      <c r="T42" s="60"/>
      <c r="W42" s="79"/>
      <c r="X42" s="86"/>
      <c r="Y42" s="79"/>
      <c r="Z42" s="83" t="s">
        <v>46</v>
      </c>
      <c r="AA42" s="83">
        <f>X38</f>
        <v>12500</v>
      </c>
      <c r="AB42" s="79"/>
    </row>
    <row r="43" spans="1:28" ht="15.75" customHeight="1" x14ac:dyDescent="0.25">
      <c r="A43" s="151"/>
      <c r="B43" s="92"/>
      <c r="C43" s="60"/>
      <c r="D43" s="60"/>
      <c r="E43" s="74" t="s">
        <v>57</v>
      </c>
      <c r="F43" s="60"/>
      <c r="G43" s="130"/>
      <c r="H43" s="131"/>
      <c r="I43" s="61"/>
      <c r="J43" s="60"/>
      <c r="K43" s="94"/>
      <c r="L43" s="60"/>
      <c r="M43" s="69" t="s">
        <v>58</v>
      </c>
      <c r="N43" s="70">
        <f>-G37</f>
        <v>0</v>
      </c>
      <c r="O43" s="66"/>
      <c r="P43" s="60"/>
      <c r="Q43" s="60"/>
      <c r="R43" s="60"/>
      <c r="S43" s="60"/>
      <c r="T43" s="60"/>
      <c r="W43" s="88" t="s">
        <v>59</v>
      </c>
      <c r="X43" s="91">
        <v>40000</v>
      </c>
      <c r="Y43" s="79"/>
      <c r="Z43" s="83" t="s">
        <v>60</v>
      </c>
      <c r="AA43" s="83">
        <f>X39+AA38+AA31</f>
        <v>37500</v>
      </c>
      <c r="AB43" s="79"/>
    </row>
    <row r="44" spans="1:28" ht="15.75" customHeight="1" x14ac:dyDescent="0.25">
      <c r="A44" s="151"/>
      <c r="B44" s="92"/>
      <c r="C44" s="60"/>
      <c r="D44" s="60"/>
      <c r="E44" s="60"/>
      <c r="F44" s="60"/>
      <c r="G44" s="60"/>
      <c r="H44" s="60"/>
      <c r="I44" s="61"/>
      <c r="J44" s="60"/>
      <c r="K44" s="94"/>
      <c r="L44" s="60"/>
      <c r="M44" s="60"/>
      <c r="N44" s="70"/>
      <c r="O44" s="66"/>
      <c r="P44" s="60"/>
      <c r="Q44" s="60"/>
      <c r="R44" s="60"/>
      <c r="S44" s="60"/>
      <c r="T44" s="60"/>
      <c r="W44" s="79"/>
      <c r="X44" s="79"/>
      <c r="Y44" s="79"/>
      <c r="Z44" s="83" t="s">
        <v>61</v>
      </c>
      <c r="AA44" s="83">
        <f>AA43+(X40-X39)</f>
        <v>150000</v>
      </c>
      <c r="AB44" s="79"/>
    </row>
    <row r="45" spans="1:28" ht="15.75" customHeight="1" x14ac:dyDescent="0.25">
      <c r="A45" s="151"/>
      <c r="B45" s="92"/>
      <c r="C45" s="60"/>
      <c r="D45" s="60"/>
      <c r="E45" s="60"/>
      <c r="F45" s="60"/>
      <c r="G45" s="60"/>
      <c r="H45" s="60"/>
      <c r="I45" s="61"/>
      <c r="J45" s="60"/>
      <c r="K45" s="95"/>
      <c r="L45" s="96"/>
      <c r="M45" s="97" t="s">
        <v>62</v>
      </c>
      <c r="N45" s="98">
        <f>N37+N40+N34+N35+N42+N43+N39+N38</f>
        <v>0</v>
      </c>
      <c r="O45" s="99"/>
      <c r="P45" s="60"/>
      <c r="Q45" s="60"/>
      <c r="R45" s="60"/>
      <c r="S45" s="60"/>
      <c r="T45" s="60"/>
      <c r="W45" s="79" t="s">
        <v>63</v>
      </c>
      <c r="X45" s="100" t="e">
        <f>-(N42+N43)/N37</f>
        <v>#DIV/0!</v>
      </c>
      <c r="Y45" s="79"/>
      <c r="Z45" s="83" t="s">
        <v>64</v>
      </c>
      <c r="AA45" s="83">
        <f>IF((AA43)-(M26+M25+M24+M29)&lt;0,0,(AA43)-(M26+M25+M24+M29))</f>
        <v>37500</v>
      </c>
      <c r="AB45" s="79"/>
    </row>
    <row r="46" spans="1:28" ht="15.75" customHeight="1" x14ac:dyDescent="0.25">
      <c r="A46" s="151"/>
      <c r="B46" s="92"/>
      <c r="C46" s="60"/>
      <c r="D46" s="60"/>
      <c r="E46" s="101" t="s">
        <v>65</v>
      </c>
      <c r="F46" s="60"/>
      <c r="G46" s="132"/>
      <c r="H46" s="131"/>
      <c r="I46" s="61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 t="s">
        <v>66</v>
      </c>
      <c r="W46" s="79"/>
      <c r="X46" s="79"/>
      <c r="Y46" s="79"/>
      <c r="Z46" s="83" t="s">
        <v>67</v>
      </c>
      <c r="AA46" s="83">
        <f>IF((M27+M26+M25+M24)&gt;AA43,IF((AA44-AA43)-(M26+M29)&lt;0,0,(AA44-AA43)-(M26+M29)),IF((AA44-AA43)-(M26+M29)&lt;0,0,(AA44-AA43)-(M26)))</f>
        <v>112500</v>
      </c>
      <c r="AB46" s="79"/>
    </row>
    <row r="47" spans="1:28" ht="15.75" customHeight="1" x14ac:dyDescent="0.25">
      <c r="A47" s="151"/>
      <c r="B47" s="58"/>
      <c r="C47" s="59"/>
      <c r="D47" s="59"/>
      <c r="E47" s="73"/>
      <c r="F47" s="60"/>
      <c r="G47" s="60"/>
      <c r="H47" s="60"/>
      <c r="I47" s="61"/>
      <c r="J47" s="60"/>
      <c r="K47" s="133" t="s">
        <v>68</v>
      </c>
      <c r="L47" s="134"/>
      <c r="M47" s="134"/>
      <c r="N47" s="134"/>
      <c r="O47" s="60"/>
      <c r="P47" s="60"/>
      <c r="Q47" s="60"/>
      <c r="R47" s="60"/>
      <c r="S47" s="60"/>
      <c r="T47" s="60"/>
      <c r="W47" s="79"/>
      <c r="X47" s="79"/>
      <c r="Y47" s="79"/>
      <c r="Z47" s="83"/>
      <c r="AA47" s="79"/>
      <c r="AB47" s="79"/>
    </row>
    <row r="48" spans="1:28" ht="4.5" customHeight="1" x14ac:dyDescent="0.25">
      <c r="A48" s="151"/>
      <c r="B48" s="58"/>
      <c r="C48" s="59"/>
      <c r="D48" s="59"/>
      <c r="E48" s="101"/>
      <c r="F48" s="60"/>
      <c r="G48" s="71"/>
      <c r="H48" s="71"/>
      <c r="I48" s="61"/>
      <c r="J48" s="60"/>
      <c r="K48" s="102"/>
      <c r="L48" s="103"/>
      <c r="M48" s="103"/>
      <c r="N48" s="104"/>
      <c r="O48" s="105"/>
      <c r="P48" s="60"/>
      <c r="Q48" s="60"/>
      <c r="R48" s="60"/>
      <c r="S48" s="60"/>
      <c r="T48" s="60"/>
    </row>
    <row r="49" spans="1:27" ht="15.75" customHeight="1" x14ac:dyDescent="0.25">
      <c r="A49" s="151"/>
      <c r="B49" s="58"/>
      <c r="C49" s="59"/>
      <c r="D49" s="59"/>
      <c r="E49" s="101" t="s">
        <v>69</v>
      </c>
      <c r="F49" s="60"/>
      <c r="G49" s="132"/>
      <c r="H49" s="131"/>
      <c r="I49" s="61"/>
      <c r="J49" s="60"/>
      <c r="K49" s="135" t="s">
        <v>70</v>
      </c>
      <c r="L49" s="134"/>
      <c r="M49" s="134"/>
      <c r="N49" s="137"/>
      <c r="O49" s="106"/>
      <c r="P49" s="60"/>
      <c r="Q49" s="60"/>
      <c r="R49" s="60"/>
      <c r="S49" s="60"/>
      <c r="T49" s="60"/>
    </row>
    <row r="50" spans="1:27" ht="15.75" customHeight="1" x14ac:dyDescent="0.25">
      <c r="A50" s="151"/>
      <c r="B50" s="58"/>
      <c r="C50" s="59"/>
      <c r="D50" s="59"/>
      <c r="E50" s="59"/>
      <c r="F50" s="60"/>
      <c r="G50" s="60"/>
      <c r="H50" s="60"/>
      <c r="I50" s="61"/>
      <c r="J50" s="60"/>
      <c r="K50" s="136"/>
      <c r="L50" s="134"/>
      <c r="M50" s="134"/>
      <c r="N50" s="138"/>
      <c r="O50" s="106"/>
      <c r="P50" s="60"/>
      <c r="Q50" s="60"/>
      <c r="R50" s="60"/>
      <c r="S50" s="60"/>
      <c r="T50" s="60"/>
    </row>
    <row r="51" spans="1:27" ht="15.75" customHeight="1" x14ac:dyDescent="0.25">
      <c r="A51" s="151"/>
      <c r="B51" s="58"/>
      <c r="C51" s="59"/>
      <c r="D51" s="59"/>
      <c r="E51" s="59"/>
      <c r="F51" s="60"/>
      <c r="G51" s="60"/>
      <c r="H51" s="60"/>
      <c r="I51" s="61"/>
      <c r="J51" s="60"/>
      <c r="K51" s="107"/>
      <c r="L51" s="60"/>
      <c r="M51" s="60"/>
      <c r="N51" s="60"/>
      <c r="O51" s="106"/>
      <c r="P51" s="60"/>
      <c r="Q51" s="60"/>
      <c r="R51" s="60"/>
      <c r="S51" s="60"/>
      <c r="T51" s="60"/>
      <c r="Z51" s="108">
        <f>M25+M26+M31+M30</f>
        <v>0</v>
      </c>
      <c r="AA51" s="109" t="b">
        <f>Z51&lt;=AA44</f>
        <v>1</v>
      </c>
    </row>
    <row r="52" spans="1:27" ht="15.75" customHeight="1" x14ac:dyDescent="0.25">
      <c r="A52" s="151"/>
      <c r="B52" s="58"/>
      <c r="C52" s="59"/>
      <c r="D52" s="59"/>
      <c r="E52" s="101" t="s">
        <v>71</v>
      </c>
      <c r="F52" s="60"/>
      <c r="G52" s="132"/>
      <c r="H52" s="131"/>
      <c r="I52" s="61"/>
      <c r="J52" s="60"/>
      <c r="K52" s="139" t="s">
        <v>72</v>
      </c>
      <c r="L52" s="134"/>
      <c r="M52" s="134"/>
      <c r="N52" s="140">
        <f>IF((N45-N34-N35)&gt;1000,IF(X45&lt;0.8,(N45-N34-N35)/2,0),0)</f>
        <v>0</v>
      </c>
      <c r="O52" s="106"/>
      <c r="P52" s="60"/>
      <c r="Q52" s="60"/>
      <c r="R52" s="60"/>
      <c r="S52" s="60"/>
      <c r="T52" s="60"/>
      <c r="Z52" s="108">
        <f>M25+M26+M27+M31+M30+M32</f>
        <v>0</v>
      </c>
      <c r="AA52" s="109" t="b">
        <f>Z52=L22</f>
        <v>1</v>
      </c>
    </row>
    <row r="53" spans="1:27" ht="15.75" customHeight="1" x14ac:dyDescent="0.25">
      <c r="A53" s="151"/>
      <c r="B53" s="110"/>
      <c r="C53" s="111"/>
      <c r="D53" s="111"/>
      <c r="E53" s="111"/>
      <c r="F53" s="111"/>
      <c r="G53" s="111"/>
      <c r="H53" s="111"/>
      <c r="I53" s="112"/>
      <c r="J53" s="60"/>
      <c r="K53" s="136"/>
      <c r="L53" s="134"/>
      <c r="M53" s="134"/>
      <c r="N53" s="134"/>
      <c r="O53" s="106"/>
      <c r="P53" s="60"/>
      <c r="Q53" s="60"/>
      <c r="R53" s="60"/>
      <c r="S53" s="60"/>
      <c r="T53" s="60"/>
      <c r="Z53" s="113"/>
      <c r="AA53" s="113"/>
    </row>
    <row r="54" spans="1:27" ht="15.75" customHeight="1" x14ac:dyDescent="0.25">
      <c r="A54" s="151"/>
      <c r="B54" s="60"/>
      <c r="C54" s="60"/>
      <c r="D54" s="60"/>
      <c r="E54" s="60"/>
      <c r="F54" s="60"/>
      <c r="G54" s="60"/>
      <c r="H54" s="60"/>
      <c r="I54" s="60"/>
      <c r="J54" s="60"/>
      <c r="K54" s="107"/>
      <c r="L54" s="60"/>
      <c r="M54" s="60"/>
      <c r="N54" s="60"/>
      <c r="O54" s="106"/>
      <c r="P54" s="60"/>
      <c r="Q54" s="60"/>
      <c r="R54" s="60"/>
      <c r="S54" s="60"/>
      <c r="T54" s="60"/>
      <c r="Z54" s="114" t="s">
        <v>73</v>
      </c>
      <c r="AA54" s="108">
        <f>IF((L22)&gt;AA44,0,IF((L22)&gt;AA43,500,1000))</f>
        <v>1000</v>
      </c>
    </row>
    <row r="55" spans="1:27" ht="15.75" customHeight="1" x14ac:dyDescent="0.25">
      <c r="A55" s="151"/>
      <c r="B55" s="60"/>
      <c r="C55" s="60"/>
      <c r="D55" s="60"/>
      <c r="E55" s="60"/>
      <c r="F55" s="60"/>
      <c r="G55" s="60"/>
      <c r="H55" s="60"/>
      <c r="I55" s="60"/>
      <c r="J55" s="60"/>
      <c r="K55" s="141" t="s">
        <v>74</v>
      </c>
      <c r="L55" s="134"/>
      <c r="M55" s="134"/>
      <c r="N55" s="142">
        <f>N45-N49+N52</f>
        <v>0</v>
      </c>
      <c r="O55" s="106"/>
      <c r="P55" s="60"/>
      <c r="Q55" s="60"/>
      <c r="R55" s="60"/>
      <c r="S55" s="60"/>
      <c r="T55" s="60"/>
      <c r="Z55" s="114" t="s">
        <v>75</v>
      </c>
      <c r="AA55" s="108">
        <f>IF((G24+G35+G40+G43+G30-AA30)&gt;(X38+5000),0,IF((G24+G35+G40+G43+G30-AA30)&lt;(X38),5000,(5000+(X38-(G24+G35+G40+G43+G30-AA30)))))</f>
        <v>5000</v>
      </c>
    </row>
    <row r="56" spans="1:27" ht="15.75" customHeight="1" x14ac:dyDescent="0.25">
      <c r="A56" s="151"/>
      <c r="B56" s="60"/>
      <c r="C56" s="60"/>
      <c r="D56" s="60"/>
      <c r="E56" s="60"/>
      <c r="F56" s="60"/>
      <c r="G56" s="60"/>
      <c r="H56" s="60"/>
      <c r="I56" s="60"/>
      <c r="J56" s="60"/>
      <c r="K56" s="136"/>
      <c r="L56" s="134"/>
      <c r="M56" s="134"/>
      <c r="N56" s="143"/>
      <c r="O56" s="106"/>
      <c r="P56" s="60"/>
      <c r="Q56" s="60"/>
      <c r="R56" s="60"/>
      <c r="S56" s="60"/>
      <c r="T56" s="60"/>
      <c r="Z56" s="114" t="s">
        <v>76</v>
      </c>
      <c r="AA56" s="108">
        <v>2000</v>
      </c>
    </row>
    <row r="57" spans="1:27" ht="15.75" customHeight="1" x14ac:dyDescent="0.25">
      <c r="A57" s="151"/>
      <c r="B57" s="60"/>
      <c r="C57" s="60"/>
      <c r="D57" s="60"/>
      <c r="E57" s="60"/>
      <c r="F57" s="60"/>
      <c r="G57" s="60"/>
      <c r="H57" s="60"/>
      <c r="I57" s="60"/>
      <c r="J57" s="60"/>
      <c r="K57" s="107"/>
      <c r="L57" s="60"/>
      <c r="M57" s="60"/>
      <c r="N57" s="60"/>
      <c r="O57" s="106"/>
      <c r="P57" s="60"/>
      <c r="Q57" s="60"/>
      <c r="R57" s="60"/>
      <c r="S57" s="60"/>
      <c r="T57" s="60"/>
      <c r="Z57" s="113"/>
      <c r="AA57" s="113"/>
    </row>
    <row r="58" spans="1:27" ht="15.75" customHeight="1" x14ac:dyDescent="0.25">
      <c r="A58" s="151"/>
      <c r="B58" s="60"/>
      <c r="C58" s="60"/>
      <c r="D58" s="60"/>
      <c r="E58" s="60"/>
      <c r="F58" s="60"/>
      <c r="G58" s="60"/>
      <c r="H58" s="60"/>
      <c r="I58" s="60"/>
      <c r="J58" s="60"/>
      <c r="K58" s="144" t="s">
        <v>77</v>
      </c>
      <c r="L58" s="145"/>
      <c r="M58" s="146"/>
      <c r="N58" s="140">
        <f>N52</f>
        <v>0</v>
      </c>
      <c r="O58" s="106"/>
      <c r="P58" s="60"/>
      <c r="Q58" s="60"/>
      <c r="R58" s="60"/>
      <c r="S58" s="60"/>
      <c r="T58" s="60"/>
      <c r="Z58" s="114" t="s">
        <v>78</v>
      </c>
      <c r="AA58" s="114">
        <f>IF(IF($G$17=W18,IF(($AA$32-18390*9%)&lt;0,0,($AA$32-19390)*9%),0)&lt;0,0,IF($G$17=W18,IF(($AA$32-19390*9%)&lt;0,0,($AA$32-19390)*9%),0))</f>
        <v>0</v>
      </c>
    </row>
    <row r="59" spans="1:27" ht="15.75" customHeight="1" x14ac:dyDescent="0.25">
      <c r="A59" s="151"/>
      <c r="B59" s="60"/>
      <c r="C59" s="60"/>
      <c r="D59" s="60"/>
      <c r="E59" s="60"/>
      <c r="F59" s="60"/>
      <c r="G59" s="60"/>
      <c r="H59" s="60"/>
      <c r="I59" s="60"/>
      <c r="J59" s="60"/>
      <c r="K59" s="147"/>
      <c r="L59" s="148"/>
      <c r="M59" s="149"/>
      <c r="N59" s="148"/>
      <c r="O59" s="115"/>
      <c r="P59" s="60"/>
      <c r="Q59" s="60"/>
      <c r="R59" s="60"/>
      <c r="S59" s="60"/>
      <c r="T59" s="60"/>
      <c r="Z59" s="114" t="s">
        <v>79</v>
      </c>
      <c r="AA59" s="114">
        <f>IF(IF($G$17=W19,IF(($AA$32-26575*9%)&lt;0,0,($AA$32-26575)*9%),0)&lt;0,0,IF($G$17=W19,IF(($AA$32-26575*9%)&lt;0,0,($AA$32-26575)*9%),0))</f>
        <v>0</v>
      </c>
    </row>
    <row r="60" spans="1:27" ht="15.75" customHeight="1" x14ac:dyDescent="0.25">
      <c r="A60" s="151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Z60" s="114" t="s">
        <v>80</v>
      </c>
      <c r="AA60" s="116">
        <f>IF($G$21=W22,IF(($AA$32-18330*9%)&lt;0,0,($AA$32-18330)*9%),0)</f>
        <v>0</v>
      </c>
    </row>
    <row r="61" spans="1:27" ht="15.75" customHeight="1" x14ac:dyDescent="0.25">
      <c r="A61" s="151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Z61" s="117"/>
    </row>
    <row r="62" spans="1:27" ht="15.75" customHeight="1" x14ac:dyDescent="0.25">
      <c r="A62" s="151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7" ht="15.75" customHeight="1" x14ac:dyDescent="0.25">
      <c r="A63" s="15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7" ht="15.75" customHeight="1" x14ac:dyDescent="0.25">
      <c r="A64" s="15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6" ht="15.75" customHeight="1" x14ac:dyDescent="0.25">
      <c r="A65" s="151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Z65" s="118" t="s">
        <v>81</v>
      </c>
    </row>
    <row r="66" spans="1:26" ht="15.75" customHeight="1" x14ac:dyDescent="0.25">
      <c r="A66" s="151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6" ht="15.75" customHeight="1" x14ac:dyDescent="0.25">
      <c r="A67" s="151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6" ht="15.75" customHeight="1" x14ac:dyDescent="0.25">
      <c r="A68" s="15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6" ht="15.75" customHeight="1" x14ac:dyDescent="0.25">
      <c r="A69" s="15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6" ht="15.75" customHeight="1" x14ac:dyDescent="0.25">
      <c r="A70" s="151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6" ht="15.75" customHeight="1" x14ac:dyDescent="0.25">
      <c r="A71" s="15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6" ht="15.75" customHeight="1" x14ac:dyDescent="0.25">
      <c r="A72" s="151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6" ht="15.75" customHeight="1" x14ac:dyDescent="0.25">
      <c r="A73" s="151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6" ht="15.75" customHeight="1" x14ac:dyDescent="0.25">
      <c r="A74" s="151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6" ht="15.75" customHeight="1" x14ac:dyDescent="0.25">
      <c r="A75" s="151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6" ht="15.75" customHeight="1" x14ac:dyDescent="0.25">
      <c r="A76" s="151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6" ht="15.75" customHeight="1" x14ac:dyDescent="0.25">
      <c r="A77" s="151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6" ht="15.75" customHeight="1" x14ac:dyDescent="0.25">
      <c r="A78" s="151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6" ht="15.75" customHeight="1" x14ac:dyDescent="0.25">
      <c r="A79" s="151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  <row r="80" spans="1:26" ht="15.75" customHeight="1" x14ac:dyDescent="0.25">
      <c r="A80" s="15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</row>
    <row r="81" spans="1:20" ht="15.75" customHeight="1" x14ac:dyDescent="0.25">
      <c r="A81" s="151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</row>
    <row r="82" spans="1:20" ht="15.75" customHeight="1" x14ac:dyDescent="0.25">
      <c r="A82" s="151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1:20" ht="15.75" customHeight="1" x14ac:dyDescent="0.25">
      <c r="A83" s="151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</row>
    <row r="84" spans="1:20" ht="15.75" customHeight="1" x14ac:dyDescent="0.25">
      <c r="A84" s="151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</row>
    <row r="85" spans="1:20" ht="15.75" customHeight="1" x14ac:dyDescent="0.25">
      <c r="A85" s="151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 ht="15.75" customHeight="1" x14ac:dyDescent="0.25">
      <c r="A86" s="151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</row>
    <row r="87" spans="1:20" ht="15.75" customHeight="1" x14ac:dyDescent="0.25">
      <c r="A87" s="151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</row>
    <row r="88" spans="1:20" ht="15.75" customHeight="1" x14ac:dyDescent="0.25">
      <c r="A88" s="151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</row>
    <row r="89" spans="1:20" ht="15.75" customHeight="1" x14ac:dyDescent="0.25">
      <c r="A89" s="151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</row>
    <row r="90" spans="1:20" ht="15.75" customHeight="1" x14ac:dyDescent="0.25">
      <c r="A90" s="151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</row>
    <row r="91" spans="1:20" ht="15.75" customHeight="1" x14ac:dyDescent="0.25">
      <c r="A91" s="151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</row>
    <row r="92" spans="1:20" ht="15.75" customHeight="1" x14ac:dyDescent="0.25">
      <c r="A92" s="151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</row>
    <row r="93" spans="1:20" ht="15.75" customHeight="1" x14ac:dyDescent="0.25">
      <c r="A93" s="151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ht="15.75" customHeight="1" x14ac:dyDescent="0.25">
      <c r="A94" s="151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ht="15.75" customHeight="1" x14ac:dyDescent="0.25">
      <c r="A95" s="151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</row>
    <row r="96" spans="1:20" ht="15.75" customHeight="1" x14ac:dyDescent="0.25">
      <c r="A96" s="151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</row>
    <row r="97" spans="1:20" ht="15.75" customHeight="1" x14ac:dyDescent="0.25">
      <c r="A97" s="151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</row>
    <row r="98" spans="1:20" ht="15.75" customHeight="1" x14ac:dyDescent="0.25">
      <c r="A98" s="151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20" ht="15.75" customHeight="1" x14ac:dyDescent="0.25">
      <c r="A99" s="151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</row>
    <row r="100" spans="1:20" ht="15.75" customHeight="1" x14ac:dyDescent="0.25">
      <c r="A100" s="151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</row>
    <row r="101" spans="1:20" ht="15.75" customHeight="1" x14ac:dyDescent="0.25">
      <c r="A101" s="151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</row>
    <row r="102" spans="1:20" ht="15.75" customHeight="1" x14ac:dyDescent="0.25">
      <c r="A102" s="151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</row>
    <row r="103" spans="1:20" ht="15.75" customHeight="1" x14ac:dyDescent="0.25">
      <c r="A103" s="151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0" ht="15.75" customHeight="1" x14ac:dyDescent="0.25">
      <c r="A104" s="151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1:20" ht="15.75" customHeight="1" x14ac:dyDescent="0.25">
      <c r="A105" s="151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</row>
    <row r="106" spans="1:20" ht="15.75" customHeight="1" x14ac:dyDescent="0.25">
      <c r="A106" s="151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</row>
    <row r="107" spans="1:20" ht="15.75" customHeight="1" x14ac:dyDescent="0.25">
      <c r="A107" s="151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</row>
    <row r="108" spans="1:20" ht="15.75" customHeight="1" x14ac:dyDescent="0.25">
      <c r="A108" s="151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  <row r="109" spans="1:20" ht="15.75" customHeight="1" x14ac:dyDescent="0.25">
      <c r="A109" s="151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</row>
    <row r="110" spans="1:20" ht="15.75" customHeight="1" x14ac:dyDescent="0.25">
      <c r="A110" s="151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1:20" ht="15.75" customHeight="1" x14ac:dyDescent="0.25">
      <c r="A111" s="151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0" ht="15.75" customHeight="1" x14ac:dyDescent="0.25">
      <c r="A112" s="151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 ht="15.75" customHeight="1" x14ac:dyDescent="0.25">
      <c r="A113" s="151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 ht="15.75" customHeight="1" x14ac:dyDescent="0.25">
      <c r="A114" s="151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 ht="15.75" customHeight="1" x14ac:dyDescent="0.25">
      <c r="A115" s="151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 ht="15.75" customHeight="1" x14ac:dyDescent="0.25">
      <c r="A116" s="151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 ht="15.75" customHeight="1" x14ac:dyDescent="0.25">
      <c r="A117" s="151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1:20" ht="15.75" customHeight="1" x14ac:dyDescent="0.25">
      <c r="A118" s="151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1:20" ht="15.75" customHeight="1" x14ac:dyDescent="0.25">
      <c r="A119" s="151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1:20" ht="15.75" customHeight="1" x14ac:dyDescent="0.25">
      <c r="A120" s="151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20" ht="15.75" customHeight="1" x14ac:dyDescent="0.25">
      <c r="A121" s="151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20" ht="15.75" customHeight="1" x14ac:dyDescent="0.25">
      <c r="A122" s="151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</row>
    <row r="123" spans="1:20" ht="15.75" customHeight="1" x14ac:dyDescent="0.25">
      <c r="A123" s="151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</row>
    <row r="124" spans="1:20" ht="15.75" customHeight="1" x14ac:dyDescent="0.25">
      <c r="A124" s="151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</row>
    <row r="125" spans="1:20" ht="15.75" customHeight="1" x14ac:dyDescent="0.25">
      <c r="A125" s="151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</row>
    <row r="126" spans="1:20" ht="15.75" customHeight="1" x14ac:dyDescent="0.25">
      <c r="A126" s="151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</row>
    <row r="127" spans="1:20" ht="15.75" customHeight="1" x14ac:dyDescent="0.25">
      <c r="A127" s="151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</row>
    <row r="128" spans="1:20" ht="15.75" customHeight="1" x14ac:dyDescent="0.25">
      <c r="A128" s="151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</row>
    <row r="129" spans="1:20" ht="15.75" customHeight="1" x14ac:dyDescent="0.25">
      <c r="A129" s="151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</row>
    <row r="130" spans="1:20" ht="15.75" customHeight="1" x14ac:dyDescent="0.25">
      <c r="A130" s="151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</row>
    <row r="131" spans="1:20" ht="15.75" customHeight="1" x14ac:dyDescent="0.25">
      <c r="A131" s="151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</row>
    <row r="132" spans="1:20" ht="15.75" customHeight="1" x14ac:dyDescent="0.25">
      <c r="A132" s="151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</row>
    <row r="133" spans="1:20" ht="15.75" customHeight="1" x14ac:dyDescent="0.25">
      <c r="A133" s="151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</row>
    <row r="134" spans="1:20" ht="15.75" customHeight="1" x14ac:dyDescent="0.25">
      <c r="A134" s="151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</row>
    <row r="135" spans="1:20" ht="15.75" customHeight="1" x14ac:dyDescent="0.25">
      <c r="A135" s="151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</row>
    <row r="136" spans="1:20" ht="15.75" customHeight="1" x14ac:dyDescent="0.25">
      <c r="A136" s="151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</row>
    <row r="137" spans="1:20" ht="15.75" customHeight="1" x14ac:dyDescent="0.25">
      <c r="A137" s="151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</row>
    <row r="138" spans="1:20" ht="15.75" customHeight="1" x14ac:dyDescent="0.25">
      <c r="A138" s="151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</row>
    <row r="139" spans="1:20" ht="15.75" customHeight="1" x14ac:dyDescent="0.25">
      <c r="A139" s="151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</row>
    <row r="140" spans="1:20" ht="15.75" customHeight="1" x14ac:dyDescent="0.25">
      <c r="A140" s="151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</row>
    <row r="141" spans="1:20" ht="15.75" customHeight="1" x14ac:dyDescent="0.25">
      <c r="A141" s="151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</row>
    <row r="142" spans="1:20" ht="15.75" customHeight="1" x14ac:dyDescent="0.25">
      <c r="A142" s="151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</row>
    <row r="143" spans="1:20" ht="15.75" customHeight="1" x14ac:dyDescent="0.25">
      <c r="A143" s="151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</row>
    <row r="144" spans="1:20" ht="15.75" customHeight="1" x14ac:dyDescent="0.25">
      <c r="A144" s="151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</row>
    <row r="145" spans="1:20" ht="15.75" customHeight="1" x14ac:dyDescent="0.25">
      <c r="A145" s="151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</row>
    <row r="146" spans="1:20" ht="15.75" customHeight="1" x14ac:dyDescent="0.25">
      <c r="A146" s="151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</row>
    <row r="147" spans="1:20" ht="15.75" customHeight="1" x14ac:dyDescent="0.25">
      <c r="A147" s="151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</row>
    <row r="148" spans="1:20" ht="15.75" customHeight="1" x14ac:dyDescent="0.25">
      <c r="A148" s="151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</row>
    <row r="149" spans="1:20" ht="15.75" customHeight="1" x14ac:dyDescent="0.25">
      <c r="A149" s="151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</row>
    <row r="150" spans="1:20" ht="15.75" customHeight="1" x14ac:dyDescent="0.25">
      <c r="A150" s="151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</row>
    <row r="151" spans="1:20" ht="15.75" customHeight="1" x14ac:dyDescent="0.25">
      <c r="A151" s="151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</row>
    <row r="152" spans="1:20" ht="15.75" customHeight="1" x14ac:dyDescent="0.25">
      <c r="A152" s="151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</row>
    <row r="153" spans="1:20" ht="15.75" customHeight="1" x14ac:dyDescent="0.25">
      <c r="A153" s="151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</row>
    <row r="154" spans="1:20" ht="15.75" customHeight="1" x14ac:dyDescent="0.25">
      <c r="A154" s="151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</row>
    <row r="155" spans="1:20" ht="15.75" customHeight="1" x14ac:dyDescent="0.25">
      <c r="A155" s="151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1:20" ht="15.75" customHeight="1" x14ac:dyDescent="0.25">
      <c r="A156" s="151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</row>
    <row r="157" spans="1:20" ht="15.75" customHeight="1" x14ac:dyDescent="0.25">
      <c r="A157" s="15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</row>
    <row r="158" spans="1:20" ht="15.75" customHeight="1" x14ac:dyDescent="0.25">
      <c r="A158" s="151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</row>
    <row r="159" spans="1:20" ht="15.75" customHeight="1" x14ac:dyDescent="0.25">
      <c r="A159" s="151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</row>
    <row r="160" spans="1:20" ht="15.75" customHeight="1" x14ac:dyDescent="0.25">
      <c r="A160" s="151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1:20" ht="15.75" customHeight="1" x14ac:dyDescent="0.25">
      <c r="A161" s="151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</row>
    <row r="162" spans="1:20" ht="15.75" customHeight="1" x14ac:dyDescent="0.25">
      <c r="A162" s="151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</row>
    <row r="163" spans="1:20" ht="15.75" customHeight="1" x14ac:dyDescent="0.25">
      <c r="A163" s="151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</row>
    <row r="164" spans="1:20" ht="15.75" customHeight="1" x14ac:dyDescent="0.25">
      <c r="A164" s="151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</row>
    <row r="165" spans="1:20" ht="15.75" customHeight="1" x14ac:dyDescent="0.25">
      <c r="A165" s="151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1:20" ht="15.75" customHeight="1" x14ac:dyDescent="0.25">
      <c r="A166" s="151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</row>
    <row r="167" spans="1:20" ht="15.75" customHeight="1" x14ac:dyDescent="0.25">
      <c r="A167" s="151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</row>
    <row r="168" spans="1:20" ht="15.75" customHeight="1" x14ac:dyDescent="0.25">
      <c r="A168" s="151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</row>
    <row r="169" spans="1:20" ht="15.75" customHeight="1" x14ac:dyDescent="0.25">
      <c r="A169" s="151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</row>
    <row r="170" spans="1:20" ht="15.75" customHeight="1" x14ac:dyDescent="0.25">
      <c r="A170" s="151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</row>
    <row r="171" spans="1:20" ht="15.75" customHeight="1" x14ac:dyDescent="0.25">
      <c r="A171" s="151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0" ht="15.75" customHeight="1" x14ac:dyDescent="0.25">
      <c r="A172" s="151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</row>
    <row r="173" spans="1:20" ht="15.75" customHeight="1" x14ac:dyDescent="0.25">
      <c r="A173" s="151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</row>
    <row r="174" spans="1:20" ht="15.75" customHeight="1" x14ac:dyDescent="0.25">
      <c r="A174" s="151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</row>
    <row r="175" spans="1:20" ht="15.75" customHeight="1" x14ac:dyDescent="0.25">
      <c r="A175" s="151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</row>
    <row r="176" spans="1:20" ht="15.75" customHeight="1" x14ac:dyDescent="0.25">
      <c r="A176" s="151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</row>
    <row r="177" spans="1:20" ht="15.75" customHeight="1" x14ac:dyDescent="0.25">
      <c r="A177" s="151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</row>
    <row r="178" spans="1:20" ht="15.75" customHeight="1" x14ac:dyDescent="0.25">
      <c r="A178" s="151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</row>
    <row r="179" spans="1:20" ht="15.75" customHeight="1" x14ac:dyDescent="0.25">
      <c r="A179" s="151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</row>
    <row r="180" spans="1:20" ht="15.75" customHeight="1" x14ac:dyDescent="0.25">
      <c r="A180" s="151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</row>
    <row r="181" spans="1:20" ht="15.75" customHeight="1" x14ac:dyDescent="0.25">
      <c r="A181" s="151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</row>
    <row r="182" spans="1:20" ht="15.75" customHeight="1" x14ac:dyDescent="0.25">
      <c r="A182" s="151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</row>
    <row r="183" spans="1:20" ht="15.75" customHeight="1" x14ac:dyDescent="0.25">
      <c r="A183" s="151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</row>
    <row r="184" spans="1:20" ht="15.75" customHeight="1" x14ac:dyDescent="0.25">
      <c r="A184" s="151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</row>
    <row r="185" spans="1:20" ht="15.75" customHeight="1" x14ac:dyDescent="0.25">
      <c r="A185" s="151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</row>
    <row r="186" spans="1:20" ht="15.75" customHeight="1" x14ac:dyDescent="0.25">
      <c r="A186" s="151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</row>
    <row r="187" spans="1:20" ht="15.75" customHeight="1" x14ac:dyDescent="0.25">
      <c r="A187" s="151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</row>
    <row r="188" spans="1:20" ht="15.75" customHeight="1" x14ac:dyDescent="0.25">
      <c r="A188" s="151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0" ht="15.75" customHeight="1" x14ac:dyDescent="0.25">
      <c r="A189" s="151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0" ht="15.75" customHeight="1" x14ac:dyDescent="0.25">
      <c r="A190" s="151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0" ht="15.75" customHeight="1" x14ac:dyDescent="0.25">
      <c r="A191" s="151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</row>
    <row r="192" spans="1:20" ht="15.75" customHeight="1" x14ac:dyDescent="0.25">
      <c r="A192" s="151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</row>
    <row r="193" spans="1:20" ht="15.75" customHeight="1" x14ac:dyDescent="0.25">
      <c r="A193" s="151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</row>
    <row r="194" spans="1:20" ht="15.75" customHeight="1" x14ac:dyDescent="0.25">
      <c r="A194" s="151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</row>
    <row r="195" spans="1:20" ht="15.75" customHeight="1" x14ac:dyDescent="0.25">
      <c r="A195" s="151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</row>
    <row r="196" spans="1:20" ht="15.75" customHeight="1" x14ac:dyDescent="0.25">
      <c r="A196" s="151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</row>
    <row r="197" spans="1:20" ht="15.75" customHeight="1" x14ac:dyDescent="0.25">
      <c r="A197" s="151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</row>
    <row r="198" spans="1:20" ht="15.75" customHeight="1" x14ac:dyDescent="0.25">
      <c r="A198" s="15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</row>
    <row r="199" spans="1:20" ht="15.75" customHeight="1" x14ac:dyDescent="0.25">
      <c r="A199" s="151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</row>
    <row r="200" spans="1:20" ht="15.75" customHeight="1" x14ac:dyDescent="0.25">
      <c r="A200" s="151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</row>
    <row r="201" spans="1:20" ht="15.75" customHeight="1" x14ac:dyDescent="0.25">
      <c r="A201" s="151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</row>
    <row r="202" spans="1:20" ht="15.75" customHeight="1" x14ac:dyDescent="0.25">
      <c r="A202" s="151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</row>
    <row r="203" spans="1:20" ht="15.75" customHeight="1" x14ac:dyDescent="0.25">
      <c r="A203" s="151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</row>
    <row r="204" spans="1:20" ht="15.75" customHeight="1" x14ac:dyDescent="0.25">
      <c r="A204" s="151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</row>
    <row r="205" spans="1:20" ht="15.75" customHeight="1" x14ac:dyDescent="0.25">
      <c r="A205" s="151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</row>
    <row r="206" spans="1:20" ht="15.75" customHeight="1" x14ac:dyDescent="0.25">
      <c r="A206" s="151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</row>
    <row r="207" spans="1:20" ht="15.75" customHeight="1" x14ac:dyDescent="0.25">
      <c r="A207" s="151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</row>
    <row r="208" spans="1:20" ht="15.75" customHeight="1" x14ac:dyDescent="0.25">
      <c r="A208" s="151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</row>
    <row r="209" spans="1:20" ht="15.75" customHeight="1" x14ac:dyDescent="0.25">
      <c r="A209" s="151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</row>
    <row r="210" spans="1:20" ht="15.75" customHeight="1" x14ac:dyDescent="0.25">
      <c r="A210" s="151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</row>
    <row r="211" spans="1:20" ht="15.75" customHeight="1" x14ac:dyDescent="0.25">
      <c r="A211" s="151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</row>
    <row r="212" spans="1:20" ht="15.75" customHeight="1" x14ac:dyDescent="0.25">
      <c r="A212" s="151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</row>
    <row r="213" spans="1:20" ht="15.75" customHeight="1" x14ac:dyDescent="0.25">
      <c r="A213" s="151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</row>
    <row r="214" spans="1:20" ht="15.75" customHeight="1" x14ac:dyDescent="0.25">
      <c r="A214" s="151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</row>
    <row r="215" spans="1:20" ht="15.75" customHeight="1" x14ac:dyDescent="0.25">
      <c r="A215" s="151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</row>
    <row r="216" spans="1:20" ht="15.75" customHeight="1" x14ac:dyDescent="0.25">
      <c r="A216" s="151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</row>
    <row r="217" spans="1:20" ht="15.75" customHeight="1" x14ac:dyDescent="0.25">
      <c r="A217" s="151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</row>
    <row r="218" spans="1:20" ht="15.75" customHeight="1" x14ac:dyDescent="0.25">
      <c r="A218" s="151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</row>
    <row r="219" spans="1:20" ht="15.75" customHeight="1" x14ac:dyDescent="0.25">
      <c r="A219" s="151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</row>
    <row r="220" spans="1:20" ht="15.75" customHeight="1" x14ac:dyDescent="0.25">
      <c r="A220" s="151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</row>
    <row r="221" spans="1:20" ht="15.75" customHeight="1" x14ac:dyDescent="0.25">
      <c r="A221" s="151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</row>
    <row r="222" spans="1:20" ht="15.75" customHeight="1" x14ac:dyDescent="0.25">
      <c r="A222" s="151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</row>
    <row r="223" spans="1:20" ht="15.75" customHeight="1" x14ac:dyDescent="0.25">
      <c r="A223" s="151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</row>
    <row r="224" spans="1:20" ht="15.75" customHeight="1" x14ac:dyDescent="0.25">
      <c r="A224" s="151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</row>
    <row r="225" spans="1:20" ht="15.75" customHeight="1" x14ac:dyDescent="0.25">
      <c r="A225" s="151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</row>
    <row r="226" spans="1:20" ht="15.75" customHeight="1" x14ac:dyDescent="0.25">
      <c r="A226" s="151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</row>
    <row r="227" spans="1:20" ht="15.75" customHeight="1" x14ac:dyDescent="0.25">
      <c r="A227" s="151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</row>
    <row r="228" spans="1:20" ht="15.75" customHeight="1" x14ac:dyDescent="0.25">
      <c r="A228" s="151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</row>
    <row r="229" spans="1:20" ht="15.75" customHeight="1" x14ac:dyDescent="0.25">
      <c r="A229" s="151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</row>
    <row r="230" spans="1:20" ht="15.75" customHeight="1" x14ac:dyDescent="0.25">
      <c r="A230" s="151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</row>
    <row r="231" spans="1:20" ht="15.75" customHeight="1" x14ac:dyDescent="0.25">
      <c r="A231" s="151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</row>
    <row r="232" spans="1:20" ht="15.75" customHeight="1" x14ac:dyDescent="0.25">
      <c r="A232" s="151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</row>
    <row r="233" spans="1:20" ht="15.75" customHeight="1" x14ac:dyDescent="0.25">
      <c r="A233" s="151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</row>
    <row r="234" spans="1:20" ht="15.75" customHeight="1" x14ac:dyDescent="0.25">
      <c r="A234" s="151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</row>
    <row r="235" spans="1:20" ht="15.75" customHeight="1" x14ac:dyDescent="0.25">
      <c r="A235" s="151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</row>
    <row r="236" spans="1:20" ht="15.75" customHeight="1" x14ac:dyDescent="0.25">
      <c r="A236" s="151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</row>
    <row r="237" spans="1:20" ht="15.75" customHeight="1" x14ac:dyDescent="0.25">
      <c r="A237" s="151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</row>
    <row r="238" spans="1:20" ht="15.75" customHeight="1" x14ac:dyDescent="0.25">
      <c r="A238" s="151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</row>
    <row r="239" spans="1:20" ht="15.75" customHeight="1" x14ac:dyDescent="0.25">
      <c r="A239" s="151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</row>
    <row r="240" spans="1:20" ht="15.75" customHeight="1" x14ac:dyDescent="0.25">
      <c r="A240" s="151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</row>
    <row r="241" spans="1:20" ht="15.75" customHeight="1" x14ac:dyDescent="0.25">
      <c r="A241" s="151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</row>
    <row r="242" spans="1:20" ht="15.75" customHeight="1" x14ac:dyDescent="0.25">
      <c r="A242" s="151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</row>
    <row r="243" spans="1:20" ht="15.75" customHeight="1" x14ac:dyDescent="0.25">
      <c r="A243" s="151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</row>
    <row r="244" spans="1:20" ht="15.75" customHeight="1" x14ac:dyDescent="0.25">
      <c r="A244" s="151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</row>
    <row r="245" spans="1:20" ht="15.75" customHeight="1" x14ac:dyDescent="0.25">
      <c r="A245" s="151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</row>
    <row r="246" spans="1:20" ht="15.75" customHeight="1" x14ac:dyDescent="0.25">
      <c r="A246" s="151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</row>
    <row r="247" spans="1:20" ht="15.75" customHeight="1" x14ac:dyDescent="0.25">
      <c r="A247" s="151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</row>
    <row r="248" spans="1:20" ht="15.75" customHeight="1" x14ac:dyDescent="0.25">
      <c r="A248" s="151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</row>
    <row r="249" spans="1:20" ht="15.75" customHeight="1" x14ac:dyDescent="0.25">
      <c r="A249" s="151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</row>
    <row r="250" spans="1:20" ht="15.75" customHeight="1" x14ac:dyDescent="0.25">
      <c r="A250" s="15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</row>
    <row r="251" spans="1:20" ht="15.75" customHeight="1" x14ac:dyDescent="0.25">
      <c r="A251" s="151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</row>
    <row r="252" spans="1:20" ht="15.75" customHeight="1" x14ac:dyDescent="0.25">
      <c r="A252" s="151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</row>
    <row r="253" spans="1:20" ht="15.75" customHeight="1" x14ac:dyDescent="0.25">
      <c r="A253" s="151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</row>
    <row r="254" spans="1:20" ht="15.75" customHeight="1" x14ac:dyDescent="0.25">
      <c r="A254" s="151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</row>
    <row r="255" spans="1:20" ht="15.75" customHeight="1" x14ac:dyDescent="0.25">
      <c r="A255" s="151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</row>
    <row r="256" spans="1:20" ht="15.75" customHeight="1" x14ac:dyDescent="0.25">
      <c r="A256" s="151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</row>
    <row r="257" spans="1:20" ht="15.75" customHeight="1" x14ac:dyDescent="0.25">
      <c r="A257" s="151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</row>
    <row r="258" spans="1:20" ht="15.75" customHeight="1" x14ac:dyDescent="0.25">
      <c r="A258" s="151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</row>
    <row r="259" spans="1:20" ht="15.75" customHeight="1" x14ac:dyDescent="0.25">
      <c r="A259" s="151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</row>
    <row r="260" spans="1:20" ht="15.75" customHeight="1" x14ac:dyDescent="0.25">
      <c r="A260" s="151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</row>
    <row r="261" spans="1:20" ht="15.75" customHeight="1" x14ac:dyDescent="0.25">
      <c r="A261" s="151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</row>
    <row r="262" spans="1:20" ht="15.75" customHeight="1" x14ac:dyDescent="0.25">
      <c r="A262" s="151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</row>
    <row r="263" spans="1:20" ht="15.75" customHeight="1" x14ac:dyDescent="0.25">
      <c r="A263" s="151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</row>
    <row r="264" spans="1:20" ht="15.75" customHeight="1" x14ac:dyDescent="0.25">
      <c r="A264" s="151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</row>
    <row r="265" spans="1:20" ht="15.75" customHeight="1" x14ac:dyDescent="0.25">
      <c r="A265" s="143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</row>
    <row r="266" spans="1:20" ht="15.75" customHeight="1" x14ac:dyDescent="0.2"/>
    <row r="267" spans="1:20" ht="15.75" customHeight="1" x14ac:dyDescent="0.2"/>
    <row r="268" spans="1:20" ht="15.75" customHeight="1" x14ac:dyDescent="0.2"/>
    <row r="269" spans="1:20" ht="15.75" customHeight="1" x14ac:dyDescent="0.2"/>
    <row r="270" spans="1:20" ht="15.75" customHeight="1" x14ac:dyDescent="0.2"/>
    <row r="271" spans="1:20" ht="15.75" customHeight="1" x14ac:dyDescent="0.2"/>
    <row r="272" spans="1:20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5">
    <mergeCell ref="G24:H24"/>
    <mergeCell ref="G30:H30"/>
    <mergeCell ref="C31:E32"/>
    <mergeCell ref="G35:H35"/>
    <mergeCell ref="G37:H37"/>
    <mergeCell ref="G26:H26"/>
    <mergeCell ref="B27:E28"/>
    <mergeCell ref="K58:M59"/>
    <mergeCell ref="N58:N59"/>
    <mergeCell ref="A2:A265"/>
    <mergeCell ref="B2:E2"/>
    <mergeCell ref="J2:P5"/>
    <mergeCell ref="B4:H4"/>
    <mergeCell ref="B5:G5"/>
    <mergeCell ref="B10:N10"/>
    <mergeCell ref="K14:N14"/>
    <mergeCell ref="B14:E14"/>
    <mergeCell ref="B17:E17"/>
    <mergeCell ref="G17:H17"/>
    <mergeCell ref="B18:E19"/>
    <mergeCell ref="B21:E21"/>
    <mergeCell ref="G21:H21"/>
    <mergeCell ref="B24:E24"/>
    <mergeCell ref="G52:H52"/>
    <mergeCell ref="K52:M53"/>
    <mergeCell ref="N52:N53"/>
    <mergeCell ref="K55:M56"/>
    <mergeCell ref="N55:N56"/>
    <mergeCell ref="G40:H40"/>
    <mergeCell ref="G43:H43"/>
    <mergeCell ref="G46:H46"/>
    <mergeCell ref="K47:N47"/>
    <mergeCell ref="G49:H49"/>
    <mergeCell ref="K49:M50"/>
    <mergeCell ref="N49:N50"/>
  </mergeCells>
  <dataValidations count="2">
    <dataValidation type="list" allowBlank="1" sqref="G21" xr:uid="{00000000-0002-0000-0100-000000000000}">
      <formula1>$W$22:$W$23</formula1>
    </dataValidation>
    <dataValidation type="list" allowBlank="1" sqref="G17" xr:uid="{00000000-0002-0000-0100-000001000000}">
      <formula1>$W$18:$W$20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6D499"/>
  </sheetPr>
  <dimension ref="A1:AD1000"/>
  <sheetViews>
    <sheetView showGridLines="0" topLeftCell="A85" workbookViewId="0">
      <selection activeCell="J2" sqref="J2:P5"/>
    </sheetView>
  </sheetViews>
  <sheetFormatPr defaultColWidth="14.42578125" defaultRowHeight="15" customHeight="1" x14ac:dyDescent="0.2"/>
  <cols>
    <col min="1" max="1" width="2.42578125" customWidth="1"/>
    <col min="2" max="2" width="1.42578125" customWidth="1"/>
    <col min="3" max="3" width="16" customWidth="1"/>
    <col min="4" max="4" width="20.42578125" customWidth="1"/>
    <col min="5" max="5" width="14.42578125" customWidth="1"/>
    <col min="6" max="6" width="1.28515625" customWidth="1"/>
    <col min="7" max="7" width="11.5703125" customWidth="1"/>
    <col min="8" max="8" width="16" customWidth="1"/>
    <col min="9" max="9" width="1.7109375" customWidth="1"/>
    <col min="10" max="10" width="3.7109375" customWidth="1"/>
    <col min="11" max="11" width="14" customWidth="1"/>
    <col min="12" max="12" width="15.7109375" customWidth="1"/>
    <col min="13" max="13" width="20.140625" customWidth="1"/>
    <col min="14" max="14" width="15.140625" customWidth="1"/>
    <col min="15" max="15" width="2.85546875" customWidth="1"/>
    <col min="16" max="16" width="4.85546875" customWidth="1"/>
    <col min="17" max="17" width="4.85546875" hidden="1" customWidth="1"/>
    <col min="18" max="18" width="0.42578125" hidden="1" customWidth="1"/>
    <col min="19" max="19" width="4.5703125" hidden="1" customWidth="1"/>
    <col min="20" max="20" width="8.140625" hidden="1" customWidth="1"/>
    <col min="21" max="21" width="14.42578125" hidden="1" customWidth="1"/>
    <col min="22" max="22" width="4.42578125" hidden="1" customWidth="1"/>
    <col min="23" max="23" width="20.42578125" hidden="1" customWidth="1"/>
    <col min="24" max="28" width="14.42578125" hidden="1" customWidth="1"/>
    <col min="29" max="29" width="24.85546875" hidden="1" customWidth="1"/>
    <col min="30" max="30" width="14.42578125" hidden="1" customWidth="1"/>
  </cols>
  <sheetData>
    <row r="1" spans="1:29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3"/>
      <c r="S1" s="3"/>
      <c r="T1" s="3"/>
    </row>
    <row r="2" spans="1:29" ht="46.5" customHeight="1" x14ac:dyDescent="0.7">
      <c r="A2" s="150"/>
      <c r="B2" s="152" t="s">
        <v>90</v>
      </c>
      <c r="C2" s="153"/>
      <c r="D2" s="153"/>
      <c r="E2" s="154"/>
      <c r="F2" s="1"/>
      <c r="G2" s="1"/>
      <c r="H2" s="1"/>
      <c r="I2" s="4"/>
      <c r="J2" s="155"/>
      <c r="K2" s="134"/>
      <c r="L2" s="134"/>
      <c r="M2" s="134"/>
      <c r="N2" s="134"/>
      <c r="O2" s="134"/>
      <c r="P2" s="134"/>
      <c r="Q2" s="4"/>
      <c r="R2" s="4"/>
      <c r="S2" s="4"/>
      <c r="T2" s="4"/>
    </row>
    <row r="3" spans="1:29" ht="9" customHeight="1" x14ac:dyDescent="0.5">
      <c r="A3" s="151"/>
      <c r="B3" s="5"/>
      <c r="C3" s="5"/>
      <c r="D3" s="5"/>
      <c r="E3" s="5"/>
      <c r="F3" s="5"/>
      <c r="G3" s="5"/>
      <c r="H3" s="5"/>
      <c r="I3" s="4"/>
      <c r="J3" s="134"/>
      <c r="K3" s="134"/>
      <c r="L3" s="134"/>
      <c r="M3" s="134"/>
      <c r="N3" s="134"/>
      <c r="O3" s="134"/>
      <c r="P3" s="134"/>
      <c r="Q3" s="4"/>
      <c r="R3" s="4"/>
      <c r="S3" s="4"/>
      <c r="T3" s="4"/>
    </row>
    <row r="4" spans="1:29" ht="35.25" customHeight="1" x14ac:dyDescent="0.2">
      <c r="A4" s="151"/>
      <c r="B4" s="156" t="s">
        <v>0</v>
      </c>
      <c r="C4" s="157"/>
      <c r="D4" s="157"/>
      <c r="E4" s="157"/>
      <c r="F4" s="157"/>
      <c r="G4" s="157"/>
      <c r="H4" s="158"/>
      <c r="I4" s="4"/>
      <c r="J4" s="134"/>
      <c r="K4" s="134"/>
      <c r="L4" s="134"/>
      <c r="M4" s="134"/>
      <c r="N4" s="134"/>
      <c r="O4" s="134"/>
      <c r="P4" s="134"/>
      <c r="Q4" s="4"/>
      <c r="R4" s="4"/>
      <c r="S4" s="4"/>
      <c r="T4" s="4"/>
    </row>
    <row r="5" spans="1:29" ht="28.5" customHeight="1" x14ac:dyDescent="0.2">
      <c r="A5" s="151"/>
      <c r="B5" s="159" t="s">
        <v>1</v>
      </c>
      <c r="C5" s="157"/>
      <c r="D5" s="157"/>
      <c r="E5" s="157"/>
      <c r="F5" s="157"/>
      <c r="G5" s="158"/>
      <c r="H5" s="6"/>
      <c r="I5" s="4"/>
      <c r="J5" s="134"/>
      <c r="K5" s="134"/>
      <c r="L5" s="134"/>
      <c r="M5" s="134"/>
      <c r="N5" s="134"/>
      <c r="O5" s="134"/>
      <c r="P5" s="134"/>
      <c r="Q5" s="4"/>
      <c r="R5" s="4"/>
      <c r="S5" s="4"/>
      <c r="T5" s="4"/>
    </row>
    <row r="6" spans="1:29" ht="9.75" customHeight="1" x14ac:dyDescent="0.2">
      <c r="A6" s="151"/>
      <c r="B6" s="6"/>
      <c r="C6" s="6"/>
      <c r="D6" s="6"/>
      <c r="E6" s="6"/>
      <c r="F6" s="6"/>
      <c r="G6" s="6"/>
      <c r="H6" s="6"/>
      <c r="I6" s="4"/>
      <c r="J6" s="4"/>
      <c r="K6" s="4"/>
      <c r="L6" s="4"/>
      <c r="M6" s="4"/>
      <c r="N6" s="7"/>
      <c r="O6" s="4"/>
      <c r="P6" s="4"/>
      <c r="Q6" s="4"/>
      <c r="R6" s="4"/>
      <c r="S6" s="4"/>
      <c r="T6" s="4"/>
    </row>
    <row r="7" spans="1:29" ht="9" customHeight="1" x14ac:dyDescent="0.2">
      <c r="A7" s="151"/>
      <c r="B7" s="8"/>
      <c r="C7" s="8"/>
      <c r="D7" s="9"/>
      <c r="E7" s="10"/>
      <c r="F7" s="8"/>
      <c r="G7" s="8"/>
      <c r="H7" s="10"/>
      <c r="I7" s="10"/>
      <c r="J7" s="10"/>
      <c r="K7" s="11"/>
      <c r="L7" s="12"/>
      <c r="M7" s="13"/>
      <c r="N7" s="13"/>
      <c r="O7" s="14"/>
      <c r="P7" s="14"/>
      <c r="Q7" s="14"/>
      <c r="R7" s="14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ht="24" customHeight="1" x14ac:dyDescent="0.2">
      <c r="A8" s="151"/>
      <c r="B8" s="16" t="s">
        <v>2</v>
      </c>
      <c r="C8" s="16"/>
      <c r="D8" s="17"/>
      <c r="E8" s="18"/>
      <c r="F8" s="19"/>
      <c r="G8" s="19"/>
      <c r="H8" s="18"/>
      <c r="I8" s="18"/>
      <c r="J8" s="18"/>
      <c r="K8" s="20"/>
      <c r="L8" s="21"/>
      <c r="M8" s="13"/>
      <c r="N8" s="13"/>
      <c r="O8" s="14"/>
      <c r="P8" s="14"/>
      <c r="Q8" s="14"/>
      <c r="R8" s="14"/>
      <c r="S8" s="14"/>
      <c r="T8" s="15"/>
      <c r="U8" s="15" t="s">
        <v>3</v>
      </c>
      <c r="V8" s="15"/>
      <c r="W8" s="15"/>
      <c r="X8" s="15"/>
      <c r="Y8" s="15"/>
      <c r="Z8" s="15"/>
      <c r="AA8" s="15"/>
      <c r="AB8" s="15"/>
      <c r="AC8" s="15"/>
    </row>
    <row r="9" spans="1:29" ht="15.75" customHeight="1" x14ac:dyDescent="0.2">
      <c r="A9" s="151"/>
      <c r="B9" s="19"/>
      <c r="C9" s="19"/>
      <c r="D9" s="17"/>
      <c r="E9" s="18"/>
      <c r="F9" s="19"/>
      <c r="G9" s="19"/>
      <c r="H9" s="18"/>
      <c r="I9" s="18"/>
      <c r="J9" s="18"/>
      <c r="K9" s="20"/>
      <c r="L9" s="12"/>
      <c r="M9" s="13"/>
      <c r="N9" s="13"/>
      <c r="O9" s="14"/>
      <c r="P9" s="14"/>
      <c r="Q9" s="14"/>
      <c r="R9" s="14"/>
      <c r="S9" s="14"/>
      <c r="T9" s="15"/>
      <c r="U9" s="15" t="s">
        <v>4</v>
      </c>
      <c r="V9" s="15"/>
      <c r="W9" s="15"/>
      <c r="X9" s="15"/>
      <c r="Y9" s="15"/>
      <c r="Z9" s="15"/>
      <c r="AA9" s="15"/>
      <c r="AB9" s="15"/>
      <c r="AC9" s="15"/>
    </row>
    <row r="10" spans="1:29" ht="27" customHeight="1" x14ac:dyDescent="0.2">
      <c r="A10" s="151"/>
      <c r="B10" s="160" t="s">
        <v>91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  <c r="O10" s="22"/>
      <c r="P10" s="22"/>
      <c r="Q10" s="22"/>
      <c r="R10" s="22"/>
      <c r="S10" s="22"/>
      <c r="T10" s="22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21" customHeight="1" x14ac:dyDescent="0.2">
      <c r="A11" s="15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9.5" customHeight="1" x14ac:dyDescent="0.2">
      <c r="A12" s="151"/>
      <c r="B12" s="16" t="s">
        <v>5</v>
      </c>
      <c r="C12" s="16"/>
      <c r="D12" s="16"/>
      <c r="E12" s="16"/>
      <c r="F12" s="16"/>
      <c r="G12" s="16"/>
      <c r="H12" s="23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21.75" customHeight="1" x14ac:dyDescent="0.2">
      <c r="A13" s="151"/>
      <c r="B13" s="24"/>
      <c r="C13" s="24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9" ht="21.75" customHeight="1" x14ac:dyDescent="0.2">
      <c r="A14" s="151"/>
      <c r="B14" s="162" t="s">
        <v>6</v>
      </c>
      <c r="C14" s="134"/>
      <c r="D14" s="134"/>
      <c r="E14" s="134"/>
      <c r="F14" s="22"/>
      <c r="G14" s="22"/>
      <c r="H14" s="22"/>
      <c r="I14" s="22"/>
      <c r="J14" s="22"/>
      <c r="K14" s="161" t="s">
        <v>7</v>
      </c>
      <c r="L14" s="134"/>
      <c r="M14" s="134"/>
      <c r="N14" s="134"/>
      <c r="O14" s="22"/>
      <c r="P14" s="22"/>
      <c r="Q14" s="22"/>
      <c r="R14" s="22"/>
      <c r="S14" s="22"/>
      <c r="T14" s="22"/>
    </row>
    <row r="15" spans="1:29" ht="3" customHeight="1" x14ac:dyDescent="0.2">
      <c r="A15" s="151"/>
      <c r="B15" s="24"/>
      <c r="C15" s="2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9" ht="6" customHeight="1" x14ac:dyDescent="0.2">
      <c r="A16" s="151"/>
      <c r="B16" s="25"/>
      <c r="C16" s="26"/>
      <c r="D16" s="27"/>
      <c r="E16" s="27"/>
      <c r="F16" s="27"/>
      <c r="G16" s="27"/>
      <c r="H16" s="27"/>
      <c r="I16" s="28"/>
      <c r="J16" s="22"/>
      <c r="K16" s="29"/>
      <c r="L16" s="30"/>
      <c r="M16" s="31"/>
      <c r="N16" s="31"/>
      <c r="O16" s="32"/>
      <c r="P16" s="22"/>
      <c r="Q16" s="22"/>
      <c r="R16" s="22"/>
      <c r="S16" s="22"/>
      <c r="T16" s="22"/>
    </row>
    <row r="17" spans="1:28" ht="15.75" customHeight="1" x14ac:dyDescent="0.25">
      <c r="A17" s="151"/>
      <c r="B17" s="163" t="s">
        <v>8</v>
      </c>
      <c r="C17" s="134"/>
      <c r="D17" s="134"/>
      <c r="E17" s="134"/>
      <c r="F17" s="24"/>
      <c r="G17" s="164" t="s">
        <v>4</v>
      </c>
      <c r="H17" s="131"/>
      <c r="I17" s="33"/>
      <c r="J17" s="24"/>
      <c r="K17" s="34" t="s">
        <v>9</v>
      </c>
      <c r="L17" s="35"/>
      <c r="M17" s="36" t="s">
        <v>10</v>
      </c>
      <c r="N17" s="36" t="s">
        <v>11</v>
      </c>
      <c r="O17" s="37"/>
      <c r="P17" s="22"/>
      <c r="Q17" s="22"/>
      <c r="R17" s="22"/>
      <c r="S17" s="22"/>
      <c r="T17" s="22"/>
    </row>
    <row r="18" spans="1:28" ht="16.5" customHeight="1" x14ac:dyDescent="0.25">
      <c r="A18" s="151"/>
      <c r="B18" s="165" t="s">
        <v>12</v>
      </c>
      <c r="C18" s="145"/>
      <c r="D18" s="145"/>
      <c r="E18" s="146"/>
      <c r="F18" s="38"/>
      <c r="G18" s="39"/>
      <c r="H18" s="40"/>
      <c r="I18" s="41"/>
      <c r="J18" s="22"/>
      <c r="K18" s="42"/>
      <c r="L18" s="43">
        <f>M18</f>
        <v>100000</v>
      </c>
      <c r="M18" s="44">
        <f>G24+G30+G35+G40+G43</f>
        <v>100000</v>
      </c>
      <c r="N18" s="40"/>
      <c r="O18" s="45"/>
      <c r="P18" s="22"/>
      <c r="Q18" s="22"/>
      <c r="R18" s="22"/>
      <c r="S18" s="22"/>
      <c r="T18" s="22"/>
      <c r="W18" s="46" t="s">
        <v>13</v>
      </c>
    </row>
    <row r="19" spans="1:28" ht="18" customHeight="1" x14ac:dyDescent="0.25">
      <c r="A19" s="151"/>
      <c r="B19" s="166"/>
      <c r="C19" s="167"/>
      <c r="D19" s="167"/>
      <c r="E19" s="168"/>
      <c r="F19" s="22"/>
      <c r="G19" s="40"/>
      <c r="H19" s="40"/>
      <c r="I19" s="41"/>
      <c r="J19" s="22"/>
      <c r="K19" s="42"/>
      <c r="L19" s="43">
        <f>N19</f>
        <v>0</v>
      </c>
      <c r="M19" s="44"/>
      <c r="N19" s="43">
        <f>G52+G53</f>
        <v>0</v>
      </c>
      <c r="O19" s="45"/>
      <c r="P19" s="22"/>
      <c r="Q19" s="22"/>
      <c r="R19" s="22"/>
      <c r="S19" s="22"/>
      <c r="T19" s="22"/>
      <c r="W19" s="46" t="s">
        <v>14</v>
      </c>
    </row>
    <row r="20" spans="1:28" ht="14.25" customHeight="1" x14ac:dyDescent="0.25">
      <c r="A20" s="151"/>
      <c r="B20" s="47"/>
      <c r="C20" s="48"/>
      <c r="D20" s="48"/>
      <c r="E20" s="48"/>
      <c r="F20" s="22"/>
      <c r="G20" s="40"/>
      <c r="H20" s="40"/>
      <c r="I20" s="41"/>
      <c r="J20" s="49"/>
      <c r="K20" s="50" t="s">
        <v>15</v>
      </c>
      <c r="L20" s="51">
        <f t="shared" ref="L20:N20" si="0">L18+L19</f>
        <v>100000</v>
      </c>
      <c r="M20" s="52">
        <f t="shared" si="0"/>
        <v>100000</v>
      </c>
      <c r="N20" s="51">
        <f t="shared" si="0"/>
        <v>0</v>
      </c>
      <c r="O20" s="53"/>
      <c r="P20" s="22"/>
      <c r="Q20" s="22"/>
      <c r="R20" s="22"/>
      <c r="S20" s="22"/>
      <c r="T20" s="22"/>
      <c r="W20" s="46" t="s">
        <v>4</v>
      </c>
    </row>
    <row r="21" spans="1:28" ht="15.75" customHeight="1" x14ac:dyDescent="0.25">
      <c r="A21" s="151"/>
      <c r="B21" s="163" t="s">
        <v>16</v>
      </c>
      <c r="C21" s="134"/>
      <c r="D21" s="134"/>
      <c r="E21" s="134"/>
      <c r="F21" s="22"/>
      <c r="G21" s="164" t="s">
        <v>4</v>
      </c>
      <c r="H21" s="131"/>
      <c r="I21" s="41"/>
      <c r="J21" s="22"/>
      <c r="K21" s="54" t="s">
        <v>17</v>
      </c>
      <c r="L21" s="55">
        <f>IF(X38&lt;L20,(IF(IF(AA32&gt;100000,AA42-(ROUND((AA32-100000)/2,0)),AA42)&lt;0,0,IF(AA32&gt;100000,AA42-(ROUND((AA32-100000)/2,0)),AA42))),X38)</f>
        <v>12500</v>
      </c>
      <c r="M21" s="56">
        <f>IF((M20&lt;=L21),M20,L21)</f>
        <v>12500</v>
      </c>
      <c r="N21" s="57">
        <f>L21-M21</f>
        <v>0</v>
      </c>
      <c r="O21" s="45"/>
      <c r="P21" s="22"/>
      <c r="Q21" s="22"/>
      <c r="R21" s="22"/>
      <c r="S21" s="22"/>
      <c r="T21" s="22"/>
      <c r="W21" s="46"/>
    </row>
    <row r="22" spans="1:28" ht="15.75" customHeight="1" x14ac:dyDescent="0.25">
      <c r="A22" s="151"/>
      <c r="B22" s="58"/>
      <c r="C22" s="59"/>
      <c r="D22" s="59"/>
      <c r="E22" s="59"/>
      <c r="F22" s="60"/>
      <c r="G22" s="60"/>
      <c r="H22" s="60"/>
      <c r="I22" s="61"/>
      <c r="J22" s="60"/>
      <c r="K22" s="54" t="s">
        <v>18</v>
      </c>
      <c r="L22" s="62">
        <f>IF((L20-L21)&lt;0,0,(L20-L21))</f>
        <v>87500</v>
      </c>
      <c r="M22" s="62">
        <f>M20-M21</f>
        <v>87500</v>
      </c>
      <c r="N22" s="119">
        <f>IF((N20-N21)&lt;0,0,N20-N21)</f>
        <v>0</v>
      </c>
      <c r="O22" s="63"/>
      <c r="P22" s="60"/>
      <c r="Q22" s="60"/>
      <c r="R22" s="60"/>
      <c r="S22" s="60"/>
      <c r="T22" s="60"/>
      <c r="W22" s="46" t="s">
        <v>19</v>
      </c>
    </row>
    <row r="23" spans="1:28" ht="15.75" customHeight="1" x14ac:dyDescent="0.25">
      <c r="A23" s="151"/>
      <c r="B23" s="64"/>
      <c r="C23" s="65"/>
      <c r="D23" s="60"/>
      <c r="E23" s="60"/>
      <c r="F23" s="60"/>
      <c r="G23" s="60"/>
      <c r="H23" s="60"/>
      <c r="I23" s="61"/>
      <c r="J23" s="60"/>
      <c r="K23" s="42"/>
      <c r="L23" s="60"/>
      <c r="M23" s="60"/>
      <c r="N23" s="60"/>
      <c r="O23" s="66"/>
      <c r="P23" s="60"/>
      <c r="Q23" s="60"/>
      <c r="R23" s="60"/>
      <c r="S23" s="60"/>
      <c r="T23" s="60"/>
      <c r="W23" s="46" t="s">
        <v>4</v>
      </c>
    </row>
    <row r="24" spans="1:28" ht="15.75" customHeight="1" x14ac:dyDescent="0.25">
      <c r="A24" s="151"/>
      <c r="B24" s="163" t="s">
        <v>20</v>
      </c>
      <c r="C24" s="134"/>
      <c r="D24" s="134"/>
      <c r="E24" s="134"/>
      <c r="F24" s="60"/>
      <c r="G24" s="169"/>
      <c r="H24" s="131"/>
      <c r="I24" s="61"/>
      <c r="J24" s="60"/>
      <c r="K24" s="67"/>
      <c r="L24" s="68" t="s">
        <v>21</v>
      </c>
      <c r="M24" s="69">
        <f>IF(G35&lt;(AA54+AA55),(IF(M22&lt;G35,(M22),G35)),(IF(M22&lt;=(AA54+AA55),AA54+AA55,(IF(M22&gt;(AA54+AA55),AA54+AA55,M22)))))</f>
        <v>0</v>
      </c>
      <c r="N24" s="60"/>
      <c r="O24" s="66"/>
      <c r="P24" s="60"/>
      <c r="Q24" s="60"/>
      <c r="R24" s="60"/>
      <c r="S24" s="60"/>
      <c r="T24" s="60"/>
    </row>
    <row r="25" spans="1:28" ht="18.75" customHeight="1" x14ac:dyDescent="0.25">
      <c r="A25" s="151"/>
      <c r="B25" s="64"/>
      <c r="C25" s="65"/>
      <c r="D25" s="60"/>
      <c r="E25" s="60"/>
      <c r="F25" s="60"/>
      <c r="G25" s="60"/>
      <c r="H25" s="60"/>
      <c r="I25" s="61"/>
      <c r="J25" s="60"/>
      <c r="K25" s="67"/>
      <c r="L25" s="68" t="s">
        <v>83</v>
      </c>
      <c r="M25" s="70">
        <f>IF(M22&lt;=AA49-M24-M21,M22-M24,AA49-M24-M21)</f>
        <v>2085</v>
      </c>
      <c r="N25" s="60">
        <f>ROUND(M25*0.19,2)</f>
        <v>396.15</v>
      </c>
      <c r="O25" s="66"/>
      <c r="P25" s="60"/>
      <c r="Q25" s="60"/>
      <c r="R25" s="60"/>
      <c r="S25" s="60"/>
      <c r="T25" s="60"/>
    </row>
    <row r="26" spans="1:28" ht="15.75" customHeight="1" x14ac:dyDescent="0.25">
      <c r="A26" s="151"/>
      <c r="B26" s="72"/>
      <c r="C26" s="73"/>
      <c r="D26" s="73"/>
      <c r="E26" s="74" t="s">
        <v>23</v>
      </c>
      <c r="F26" s="59"/>
      <c r="G26" s="169"/>
      <c r="H26" s="131"/>
      <c r="I26" s="61"/>
      <c r="J26" s="60"/>
      <c r="K26" s="67"/>
      <c r="L26" s="68" t="s">
        <v>22</v>
      </c>
      <c r="M26" s="70">
        <f>IF((M22-M25-M24)&lt;(X39-X41),(M22-M25-M24),(X39-X41))</f>
        <v>10573</v>
      </c>
      <c r="N26" s="71">
        <f>ROUND(M26*0.2,2)</f>
        <v>2114.6</v>
      </c>
      <c r="O26" s="66"/>
      <c r="P26" s="60"/>
      <c r="Q26" s="60"/>
      <c r="R26" s="60"/>
      <c r="S26" s="60"/>
      <c r="T26" s="60"/>
    </row>
    <row r="27" spans="1:28" ht="16.5" customHeight="1" x14ac:dyDescent="0.25">
      <c r="A27" s="151"/>
      <c r="B27" s="165" t="s">
        <v>25</v>
      </c>
      <c r="C27" s="145"/>
      <c r="D27" s="145"/>
      <c r="E27" s="146"/>
      <c r="F27" s="38"/>
      <c r="G27" s="39"/>
      <c r="H27" s="39"/>
      <c r="I27" s="76"/>
      <c r="J27" s="38"/>
      <c r="K27" s="67"/>
      <c r="L27" s="68" t="s">
        <v>84</v>
      </c>
      <c r="M27" s="70">
        <f>IF((M22-M24-M25-M26)&lt;(X42-X39),(M22-M24-M25-M26),(X42-X39))</f>
        <v>18272</v>
      </c>
      <c r="N27" s="71">
        <f>ROUND(M27*0.21,2)</f>
        <v>3837.12</v>
      </c>
      <c r="O27" s="66"/>
      <c r="P27" s="60"/>
      <c r="Q27" s="60"/>
      <c r="R27" s="60"/>
      <c r="S27" s="60"/>
      <c r="T27" s="60"/>
    </row>
    <row r="28" spans="1:28" ht="15.75" customHeight="1" x14ac:dyDescent="0.25">
      <c r="A28" s="151"/>
      <c r="B28" s="166"/>
      <c r="C28" s="167"/>
      <c r="D28" s="167"/>
      <c r="E28" s="168"/>
      <c r="F28" s="60"/>
      <c r="G28" s="60"/>
      <c r="H28" s="60"/>
      <c r="I28" s="61"/>
      <c r="J28" s="60"/>
      <c r="K28" s="67"/>
      <c r="L28" s="68" t="s">
        <v>85</v>
      </c>
      <c r="M28" s="75">
        <f>IF((M22-M24-M25-M26-M27)&lt;(X40-X42),(M22-M24-M25-M26-M27),(X40-X42))</f>
        <v>56570</v>
      </c>
      <c r="N28" s="71">
        <f>ROUND(M28*0.41,2)</f>
        <v>23193.7</v>
      </c>
      <c r="O28" s="66"/>
      <c r="P28" s="60"/>
      <c r="Q28" s="60"/>
      <c r="R28" s="60"/>
      <c r="S28" s="60"/>
      <c r="T28" s="60"/>
    </row>
    <row r="29" spans="1:28" ht="15.75" customHeight="1" x14ac:dyDescent="0.25">
      <c r="A29" s="151"/>
      <c r="B29" s="58"/>
      <c r="C29" s="59"/>
      <c r="D29" s="59"/>
      <c r="E29" s="59"/>
      <c r="F29" s="60"/>
      <c r="G29" s="60"/>
      <c r="H29" s="60"/>
      <c r="I29" s="61"/>
      <c r="J29" s="60"/>
      <c r="K29" s="67"/>
      <c r="L29" s="68" t="s">
        <v>86</v>
      </c>
      <c r="M29" s="70">
        <f>M22-M28-M26-M24-M25-M27</f>
        <v>0</v>
      </c>
      <c r="N29" s="71">
        <f>ROUND(M29*0.46,2)</f>
        <v>0</v>
      </c>
      <c r="O29" s="66"/>
      <c r="P29" s="60"/>
      <c r="Q29" s="60"/>
      <c r="R29" s="60"/>
      <c r="S29" s="60"/>
      <c r="T29" s="60"/>
      <c r="W29" s="79"/>
      <c r="X29" s="79"/>
      <c r="Y29" s="79"/>
      <c r="Z29" s="79"/>
      <c r="AA29" s="79"/>
      <c r="AB29" s="79"/>
    </row>
    <row r="30" spans="1:28" ht="19.5" customHeight="1" x14ac:dyDescent="0.25">
      <c r="A30" s="151"/>
      <c r="B30" s="80"/>
      <c r="C30" s="38"/>
      <c r="D30" s="38"/>
      <c r="E30" s="74" t="s">
        <v>28</v>
      </c>
      <c r="F30" s="81"/>
      <c r="G30" s="170"/>
      <c r="H30" s="131"/>
      <c r="I30" s="61"/>
      <c r="J30" s="60"/>
      <c r="K30" s="77"/>
      <c r="L30" s="68"/>
      <c r="M30" s="60"/>
      <c r="N30" s="60"/>
      <c r="O30" s="66"/>
      <c r="P30" s="60"/>
      <c r="Q30" s="60"/>
      <c r="R30" s="60"/>
      <c r="S30" s="60"/>
      <c r="T30" s="60"/>
      <c r="W30" s="79"/>
      <c r="X30" s="79"/>
      <c r="Y30" s="79"/>
      <c r="Z30" s="83" t="s">
        <v>30</v>
      </c>
      <c r="AA30" s="83">
        <f>G46/0.8</f>
        <v>0</v>
      </c>
      <c r="AB30" s="79"/>
    </row>
    <row r="31" spans="1:28" ht="15.75" customHeight="1" x14ac:dyDescent="0.25">
      <c r="A31" s="151"/>
      <c r="B31" s="84"/>
      <c r="C31" s="171" t="s">
        <v>31</v>
      </c>
      <c r="D31" s="145"/>
      <c r="E31" s="146"/>
      <c r="F31" s="60"/>
      <c r="G31" s="60"/>
      <c r="H31" s="60"/>
      <c r="I31" s="61"/>
      <c r="J31" s="60"/>
      <c r="K31" s="77"/>
      <c r="L31" s="78" t="s">
        <v>27</v>
      </c>
      <c r="M31" s="70">
        <f>IF(N22&gt;AA56,AA56,N22)</f>
        <v>0</v>
      </c>
      <c r="N31" s="71">
        <f>M31*0</f>
        <v>0</v>
      </c>
      <c r="O31" s="66"/>
      <c r="P31" s="60"/>
      <c r="Q31" s="60"/>
      <c r="R31" s="60"/>
      <c r="S31" s="60"/>
      <c r="T31" s="60"/>
      <c r="W31" s="79"/>
      <c r="X31" s="79"/>
      <c r="Y31" s="79"/>
      <c r="Z31" s="83" t="s">
        <v>33</v>
      </c>
      <c r="AA31" s="83">
        <f>G49/0.8</f>
        <v>0</v>
      </c>
      <c r="AB31" s="79" t="str">
        <f>TEXT(AA31,"#,###")</f>
        <v/>
      </c>
    </row>
    <row r="32" spans="1:28" ht="15.75" customHeight="1" x14ac:dyDescent="0.25">
      <c r="A32" s="151"/>
      <c r="B32" s="84"/>
      <c r="C32" s="172"/>
      <c r="D32" s="167"/>
      <c r="E32" s="168"/>
      <c r="F32" s="60"/>
      <c r="G32" s="60"/>
      <c r="H32" s="60"/>
      <c r="I32" s="61"/>
      <c r="J32" s="60"/>
      <c r="K32" s="77"/>
      <c r="L32" s="78" t="s">
        <v>29</v>
      </c>
      <c r="M32" s="82">
        <f>IF((N22-M31)&gt;AD45,AD45,N22-M31)</f>
        <v>0</v>
      </c>
      <c r="N32" s="60">
        <f>ROUND(M32*7.5%,2)</f>
        <v>0</v>
      </c>
      <c r="O32" s="66"/>
      <c r="P32" s="60"/>
      <c r="Q32" s="60"/>
      <c r="R32" s="60"/>
      <c r="S32" s="60"/>
      <c r="T32" s="60"/>
      <c r="W32" s="79"/>
      <c r="X32" s="79"/>
      <c r="Y32" s="79"/>
      <c r="Z32" s="83" t="s">
        <v>35</v>
      </c>
      <c r="AA32" s="83">
        <f>L20-AA30-AA31</f>
        <v>100000</v>
      </c>
      <c r="AB32" s="79"/>
    </row>
    <row r="33" spans="1:30" ht="15.75" customHeight="1" x14ac:dyDescent="0.25">
      <c r="A33" s="151"/>
      <c r="B33" s="58"/>
      <c r="C33" s="59"/>
      <c r="D33" s="59"/>
      <c r="E33" s="59"/>
      <c r="F33" s="60"/>
      <c r="G33" s="60"/>
      <c r="H33" s="60"/>
      <c r="I33" s="61"/>
      <c r="J33" s="60"/>
      <c r="K33" s="77"/>
      <c r="L33" s="78" t="s">
        <v>32</v>
      </c>
      <c r="M33" s="70">
        <f>IF((N22-M32-M31)&gt;AD46,AD46,N22-M32-M31)</f>
        <v>0</v>
      </c>
      <c r="N33" s="60">
        <f>ROUND(M33*32.5%,2)</f>
        <v>0</v>
      </c>
      <c r="O33" s="66"/>
      <c r="P33" s="60"/>
      <c r="Q33" s="60"/>
      <c r="R33" s="60"/>
      <c r="S33" s="60"/>
      <c r="T33" s="60"/>
      <c r="W33" s="79"/>
      <c r="X33" s="79"/>
      <c r="Y33" s="79"/>
      <c r="Z33" s="83" t="s">
        <v>36</v>
      </c>
      <c r="AA33" s="83">
        <f>IF(L20&lt;210001,(IF(IF(L20&gt;150000,X43-(ROUNDDOWN((L20-150000)/2,0)),X43)&lt;0,0,IF(L20&gt;150000,X43-(ROUNDDOWN((L20-150000)/2,0)),X43))),10000)</f>
        <v>40000</v>
      </c>
      <c r="AB33" s="79" t="str">
        <f>TEXT(AA33,"#,###")</f>
        <v>40,000</v>
      </c>
    </row>
    <row r="34" spans="1:30" ht="15.75" customHeight="1" x14ac:dyDescent="0.25">
      <c r="A34" s="151"/>
      <c r="B34" s="58"/>
      <c r="C34" s="59"/>
      <c r="D34" s="59"/>
      <c r="E34" s="59"/>
      <c r="F34" s="60"/>
      <c r="G34" s="60"/>
      <c r="H34" s="60"/>
      <c r="I34" s="61"/>
      <c r="J34" s="60"/>
      <c r="K34" s="77"/>
      <c r="L34" s="78" t="s">
        <v>34</v>
      </c>
      <c r="M34" s="75">
        <f>N22-M31-M32-M33</f>
        <v>0</v>
      </c>
      <c r="N34" s="71">
        <f>ROUND(M34*38.1%,2)</f>
        <v>0</v>
      </c>
      <c r="O34" s="66"/>
      <c r="P34" s="60"/>
      <c r="Q34" s="60"/>
      <c r="R34" s="60"/>
      <c r="S34" s="60"/>
      <c r="T34" s="60"/>
      <c r="W34" s="79"/>
      <c r="X34" s="79"/>
      <c r="Y34" s="79"/>
      <c r="Z34" s="83" t="s">
        <v>38</v>
      </c>
      <c r="AA34" s="83">
        <f>G24+G30+G40+G43+G52</f>
        <v>100000</v>
      </c>
      <c r="AB34" s="79"/>
    </row>
    <row r="35" spans="1:30" ht="18" customHeight="1" x14ac:dyDescent="0.25">
      <c r="A35" s="151"/>
      <c r="B35" s="80"/>
      <c r="C35" s="38"/>
      <c r="D35" s="38"/>
      <c r="E35" s="74" t="s">
        <v>39</v>
      </c>
      <c r="F35" s="38"/>
      <c r="G35" s="130"/>
      <c r="H35" s="131"/>
      <c r="I35" s="61"/>
      <c r="J35" s="60"/>
      <c r="K35" s="77"/>
      <c r="L35" s="78"/>
      <c r="M35" s="60"/>
      <c r="N35" s="60"/>
      <c r="O35" s="66"/>
      <c r="P35" s="60"/>
      <c r="Q35" s="60"/>
      <c r="R35" s="60"/>
      <c r="S35" s="60"/>
      <c r="T35" s="60"/>
      <c r="W35" s="79"/>
      <c r="X35" s="79"/>
      <c r="Y35" s="79"/>
      <c r="Z35" s="79"/>
      <c r="AA35" s="79"/>
      <c r="AB35" s="79"/>
    </row>
    <row r="36" spans="1:30" ht="18" customHeight="1" x14ac:dyDescent="0.25">
      <c r="A36" s="151"/>
      <c r="B36" s="64"/>
      <c r="C36" s="65"/>
      <c r="D36" s="65"/>
      <c r="E36" s="65"/>
      <c r="F36" s="60"/>
      <c r="G36" s="60"/>
      <c r="H36" s="60"/>
      <c r="I36" s="61"/>
      <c r="J36" s="60"/>
      <c r="K36" s="77"/>
      <c r="L36" s="78" t="s">
        <v>37</v>
      </c>
      <c r="M36" s="60"/>
      <c r="N36" s="71">
        <f>IF(G17="No",0,IF(G17="Yes - Plan 1",AA58,IF(G17="Yes - Plan 2",AA59,AA60)))</f>
        <v>0</v>
      </c>
      <c r="O36" s="66"/>
      <c r="P36" s="60"/>
      <c r="Q36" s="60"/>
      <c r="R36" s="60"/>
      <c r="S36" s="60"/>
      <c r="T36" s="60"/>
      <c r="W36" s="79"/>
      <c r="X36" s="79"/>
      <c r="Y36" s="79"/>
      <c r="Z36" s="83"/>
      <c r="AA36" s="79"/>
      <c r="AB36" s="79"/>
    </row>
    <row r="37" spans="1:30" ht="15.75" customHeight="1" x14ac:dyDescent="0.25">
      <c r="A37" s="151"/>
      <c r="B37" s="64"/>
      <c r="C37" s="65"/>
      <c r="D37" s="60"/>
      <c r="E37" s="74" t="s">
        <v>41</v>
      </c>
      <c r="F37" s="81"/>
      <c r="G37" s="130"/>
      <c r="H37" s="131"/>
      <c r="I37" s="61"/>
      <c r="J37" s="60"/>
      <c r="K37" s="77"/>
      <c r="L37" s="78" t="s">
        <v>40</v>
      </c>
      <c r="M37" s="60"/>
      <c r="N37" s="85">
        <f>IF(G21="No",0,AA60)</f>
        <v>0</v>
      </c>
      <c r="O37" s="66"/>
      <c r="P37" s="60"/>
      <c r="Q37" s="60"/>
      <c r="R37" s="60"/>
      <c r="S37" s="60"/>
      <c r="T37" s="60"/>
      <c r="W37" s="79"/>
      <c r="X37" s="86"/>
      <c r="Y37" s="79"/>
      <c r="Z37" s="83" t="s">
        <v>43</v>
      </c>
      <c r="AA37" s="83">
        <f>IF(AA34&gt;AA33,AA33,AA34)</f>
        <v>40000</v>
      </c>
      <c r="AB37" s="79"/>
    </row>
    <row r="38" spans="1:30" ht="15.75" customHeight="1" x14ac:dyDescent="0.25">
      <c r="A38" s="151"/>
      <c r="B38" s="64"/>
      <c r="C38" s="65"/>
      <c r="D38" s="60"/>
      <c r="E38" s="60"/>
      <c r="F38" s="60"/>
      <c r="G38" s="60"/>
      <c r="H38" s="60"/>
      <c r="I38" s="61"/>
      <c r="J38" s="60"/>
      <c r="K38" s="77"/>
      <c r="L38" s="78"/>
      <c r="M38" s="60"/>
      <c r="N38" s="60"/>
      <c r="O38" s="66"/>
      <c r="P38" s="60"/>
      <c r="Q38" s="60"/>
      <c r="R38" s="60"/>
      <c r="S38" s="60"/>
      <c r="T38" s="60"/>
      <c r="W38" s="88" t="s">
        <v>46</v>
      </c>
      <c r="X38" s="89">
        <v>12500</v>
      </c>
      <c r="Y38" s="79"/>
      <c r="Z38" s="83" t="s">
        <v>47</v>
      </c>
      <c r="AA38" s="83">
        <f>IF(AA30&gt;AA37,AA37,AA30)</f>
        <v>0</v>
      </c>
      <c r="AB38" s="79" t="str">
        <f t="shared" ref="AB38:AB39" si="1">TEXT(AA38,"#,###")</f>
        <v/>
      </c>
    </row>
    <row r="39" spans="1:30" ht="16.5" customHeight="1" x14ac:dyDescent="0.25">
      <c r="A39" s="151"/>
      <c r="B39" s="58"/>
      <c r="C39" s="59"/>
      <c r="D39" s="59"/>
      <c r="E39" s="73"/>
      <c r="F39" s="60"/>
      <c r="G39" s="60"/>
      <c r="H39" s="60"/>
      <c r="I39" s="61"/>
      <c r="J39" s="60"/>
      <c r="K39" s="77"/>
      <c r="L39" s="78" t="s">
        <v>42</v>
      </c>
      <c r="M39" s="60"/>
      <c r="N39" s="71">
        <f>N24+N26+N28+N29+N31+N32+N33+N34+N25+N27</f>
        <v>29541.57</v>
      </c>
      <c r="O39" s="66"/>
      <c r="P39" s="60"/>
      <c r="Q39" s="60"/>
      <c r="R39" s="60"/>
      <c r="S39" s="60"/>
      <c r="T39" s="60"/>
      <c r="W39" s="88" t="s">
        <v>50</v>
      </c>
      <c r="X39" s="91">
        <v>25158</v>
      </c>
      <c r="Y39" s="79"/>
      <c r="Z39" s="83" t="s">
        <v>51</v>
      </c>
      <c r="AA39" s="83">
        <f>AA31+AA38</f>
        <v>0</v>
      </c>
      <c r="AB39" s="79" t="str">
        <f t="shared" si="1"/>
        <v/>
      </c>
    </row>
    <row r="40" spans="1:30" ht="15.75" customHeight="1" x14ac:dyDescent="0.25">
      <c r="A40" s="151"/>
      <c r="B40" s="92"/>
      <c r="C40" s="60"/>
      <c r="D40" s="60"/>
      <c r="E40" s="74" t="s">
        <v>52</v>
      </c>
      <c r="F40" s="60"/>
      <c r="G40" s="130">
        <v>100000</v>
      </c>
      <c r="H40" s="131"/>
      <c r="I40" s="61"/>
      <c r="J40" s="60"/>
      <c r="K40" s="77"/>
      <c r="L40" s="78" t="s">
        <v>44</v>
      </c>
      <c r="M40" s="87" t="s">
        <v>45</v>
      </c>
      <c r="N40" s="71">
        <f>IF(G24&lt;9500,0,IF(G24&gt;50000,(((50000-9500)*0.12)+(G24-50000)*0.02),(G24-9500)*0.12))</f>
        <v>0</v>
      </c>
      <c r="O40" s="66"/>
      <c r="P40" s="60"/>
      <c r="Q40" s="60"/>
      <c r="R40" s="60"/>
      <c r="S40" s="60"/>
      <c r="T40" s="60"/>
      <c r="W40" s="88" t="s">
        <v>54</v>
      </c>
      <c r="X40" s="91">
        <v>150000</v>
      </c>
      <c r="Y40" s="79"/>
      <c r="Z40" s="79"/>
      <c r="AA40" s="79"/>
      <c r="AB40" s="79"/>
    </row>
    <row r="41" spans="1:30" ht="15.75" customHeight="1" x14ac:dyDescent="0.25">
      <c r="A41" s="151"/>
      <c r="B41" s="92"/>
      <c r="C41" s="60"/>
      <c r="D41" s="60"/>
      <c r="E41" s="60"/>
      <c r="F41" s="60"/>
      <c r="G41" s="60"/>
      <c r="H41" s="60"/>
      <c r="I41" s="61"/>
      <c r="J41" s="60"/>
      <c r="K41" s="77"/>
      <c r="L41" s="78" t="s">
        <v>48</v>
      </c>
      <c r="M41" s="87" t="s">
        <v>49</v>
      </c>
      <c r="N41" s="90">
        <f>IF(G40&gt;6475,3.05*52,0)</f>
        <v>158.6</v>
      </c>
      <c r="O41" s="66"/>
      <c r="P41" s="60"/>
      <c r="Q41" s="60"/>
      <c r="R41" s="60"/>
      <c r="S41" s="60"/>
      <c r="T41" s="60"/>
      <c r="W41" s="79" t="s">
        <v>87</v>
      </c>
      <c r="X41" s="79">
        <v>14585</v>
      </c>
      <c r="Y41" s="79"/>
      <c r="Z41" s="83"/>
      <c r="AA41" s="79"/>
      <c r="AB41" s="79"/>
    </row>
    <row r="42" spans="1:30" ht="15.75" customHeight="1" x14ac:dyDescent="0.25">
      <c r="A42" s="151"/>
      <c r="B42" s="58"/>
      <c r="C42" s="59"/>
      <c r="D42" s="59"/>
      <c r="E42" s="73"/>
      <c r="F42" s="60"/>
      <c r="G42" s="60"/>
      <c r="H42" s="60"/>
      <c r="I42" s="61"/>
      <c r="J42" s="60"/>
      <c r="K42" s="77"/>
      <c r="L42" s="78" t="s">
        <v>53</v>
      </c>
      <c r="M42" s="87" t="s">
        <v>49</v>
      </c>
      <c r="N42" s="71">
        <f>IF(((G40-9500)*9%)&lt;0,0,((G40-9500)*9%))</f>
        <v>8145</v>
      </c>
      <c r="O42" s="66"/>
      <c r="P42" s="60"/>
      <c r="Q42" s="60"/>
      <c r="R42" s="60"/>
      <c r="S42" s="60"/>
      <c r="T42" s="60"/>
      <c r="W42" s="79" t="s">
        <v>88</v>
      </c>
      <c r="X42" s="86">
        <v>43430</v>
      </c>
      <c r="Y42" s="79"/>
      <c r="Z42" s="83" t="s">
        <v>46</v>
      </c>
      <c r="AA42" s="83">
        <f>X38</f>
        <v>12500</v>
      </c>
      <c r="AB42" s="79"/>
      <c r="AC42" s="120" t="s">
        <v>46</v>
      </c>
      <c r="AD42" s="121">
        <f>X38</f>
        <v>12500</v>
      </c>
    </row>
    <row r="43" spans="1:30" ht="15.75" customHeight="1" x14ac:dyDescent="0.25">
      <c r="A43" s="151"/>
      <c r="B43" s="92"/>
      <c r="C43" s="60"/>
      <c r="D43" s="60"/>
      <c r="E43" s="74" t="s">
        <v>57</v>
      </c>
      <c r="F43" s="60"/>
      <c r="G43" s="130"/>
      <c r="H43" s="131"/>
      <c r="I43" s="61"/>
      <c r="J43" s="60"/>
      <c r="K43" s="93"/>
      <c r="L43" s="90"/>
      <c r="M43" s="60"/>
      <c r="N43" s="60"/>
      <c r="O43" s="66"/>
      <c r="P43" s="60"/>
      <c r="Q43" s="60"/>
      <c r="R43" s="60"/>
      <c r="S43" s="60"/>
      <c r="T43" s="60"/>
      <c r="W43" s="88" t="s">
        <v>59</v>
      </c>
      <c r="X43" s="91">
        <v>40000</v>
      </c>
      <c r="Y43" s="79"/>
      <c r="Z43" s="83" t="s">
        <v>87</v>
      </c>
      <c r="AA43" s="83">
        <f>X41+AA38+AA31</f>
        <v>14585</v>
      </c>
      <c r="AB43" s="79"/>
      <c r="AC43" s="122" t="s">
        <v>60</v>
      </c>
      <c r="AD43" s="121">
        <f>X49+AA38+AA31</f>
        <v>37500</v>
      </c>
    </row>
    <row r="44" spans="1:30" ht="15.75" customHeight="1" x14ac:dyDescent="0.25">
      <c r="A44" s="151"/>
      <c r="B44" s="92"/>
      <c r="C44" s="60"/>
      <c r="D44" s="60"/>
      <c r="E44" s="60"/>
      <c r="F44" s="60"/>
      <c r="G44" s="60"/>
      <c r="H44" s="60"/>
      <c r="I44" s="61"/>
      <c r="J44" s="60"/>
      <c r="K44" s="77"/>
      <c r="L44" s="68" t="s">
        <v>55</v>
      </c>
      <c r="M44" s="69" t="s">
        <v>56</v>
      </c>
      <c r="N44" s="75">
        <f>-G26</f>
        <v>0</v>
      </c>
      <c r="O44" s="66"/>
      <c r="P44" s="60"/>
      <c r="Q44" s="60"/>
      <c r="R44" s="60"/>
      <c r="S44" s="60"/>
      <c r="T44" s="60"/>
      <c r="W44" s="79"/>
      <c r="X44" s="79"/>
      <c r="Y44" s="79"/>
      <c r="Z44" s="83" t="s">
        <v>60</v>
      </c>
      <c r="AA44" s="83">
        <f>X39+AA31+AA38</f>
        <v>25158</v>
      </c>
      <c r="AB44" s="79"/>
      <c r="AC44" s="122" t="s">
        <v>61</v>
      </c>
      <c r="AD44" s="121">
        <f>AD43+(X50-X49)</f>
        <v>150000</v>
      </c>
    </row>
    <row r="45" spans="1:30" ht="15.75" customHeight="1" x14ac:dyDescent="0.25">
      <c r="A45" s="151"/>
      <c r="B45" s="92"/>
      <c r="C45" s="60"/>
      <c r="D45" s="60"/>
      <c r="E45" s="60"/>
      <c r="F45" s="60"/>
      <c r="G45" s="60"/>
      <c r="H45" s="60"/>
      <c r="I45" s="61"/>
      <c r="J45" s="60"/>
      <c r="K45" s="94"/>
      <c r="L45" s="60"/>
      <c r="M45" s="69" t="s">
        <v>58</v>
      </c>
      <c r="N45" s="70">
        <f>-G37</f>
        <v>0</v>
      </c>
      <c r="O45" s="66"/>
      <c r="P45" s="60"/>
      <c r="Q45" s="60"/>
      <c r="R45" s="60"/>
      <c r="S45" s="60"/>
      <c r="T45" s="60"/>
      <c r="W45" s="79" t="s">
        <v>63</v>
      </c>
      <c r="X45" s="100">
        <f>-(N44+N45)/N39</f>
        <v>0</v>
      </c>
      <c r="Y45" s="79"/>
      <c r="Z45" s="83" t="s">
        <v>88</v>
      </c>
      <c r="AA45" s="83">
        <f>X42+AA31+AA38</f>
        <v>43430</v>
      </c>
      <c r="AB45" s="79"/>
      <c r="AC45" s="122" t="s">
        <v>64</v>
      </c>
      <c r="AD45" s="123">
        <f>IF((AD43)-(M31+M28+M27+M26+M25+M24)&lt;0,0,(AD43)-(M31+M28+M27+M26+M25+M24))</f>
        <v>0</v>
      </c>
    </row>
    <row r="46" spans="1:30" ht="15.75" customHeight="1" x14ac:dyDescent="0.25">
      <c r="A46" s="151"/>
      <c r="B46" s="92"/>
      <c r="C46" s="60"/>
      <c r="D46" s="60"/>
      <c r="E46" s="101" t="s">
        <v>65</v>
      </c>
      <c r="F46" s="60"/>
      <c r="G46" s="132"/>
      <c r="H46" s="131"/>
      <c r="I46" s="61"/>
      <c r="J46" s="60"/>
      <c r="K46" s="94"/>
      <c r="L46" s="60"/>
      <c r="M46" s="60"/>
      <c r="N46" s="70"/>
      <c r="O46" s="66"/>
      <c r="P46" s="60"/>
      <c r="Q46" s="60"/>
      <c r="R46" s="60"/>
      <c r="S46" s="60"/>
      <c r="T46" s="60" t="s">
        <v>66</v>
      </c>
      <c r="W46" s="79"/>
      <c r="X46" s="79"/>
      <c r="Y46" s="79"/>
      <c r="Z46" s="83" t="s">
        <v>61</v>
      </c>
      <c r="AA46" s="83">
        <f>AA44+(X40-X42)</f>
        <v>131728</v>
      </c>
      <c r="AB46" s="79"/>
      <c r="AC46" s="122" t="s">
        <v>67</v>
      </c>
      <c r="AD46" s="121">
        <f>IF((M29+M28+M27+M26+M25+M24)&gt;AD43,IF((AD44-AD43)-(M28+M31)&lt;0,0, (AD44-AD43)-(M28+M31)),IF((AD44-AD43)-(M28+M31)&lt;0,0,(AD44-AD43)-(M28)))</f>
        <v>55930</v>
      </c>
    </row>
    <row r="47" spans="1:30" ht="15.75" customHeight="1" x14ac:dyDescent="0.25">
      <c r="A47" s="151"/>
      <c r="B47" s="58"/>
      <c r="C47" s="59"/>
      <c r="D47" s="59"/>
      <c r="E47" s="73"/>
      <c r="F47" s="60"/>
      <c r="G47" s="60"/>
      <c r="H47" s="60"/>
      <c r="I47" s="61"/>
      <c r="J47" s="60"/>
      <c r="K47" s="95"/>
      <c r="L47" s="96"/>
      <c r="M47" s="97" t="s">
        <v>62</v>
      </c>
      <c r="N47" s="98">
        <f>N39+N42+N36+N37+N44+N45+N41+N40</f>
        <v>37845.17</v>
      </c>
      <c r="O47" s="99"/>
      <c r="P47" s="60"/>
      <c r="Q47" s="60"/>
      <c r="R47" s="60"/>
      <c r="S47" s="60"/>
      <c r="T47" s="60"/>
      <c r="W47" s="79"/>
      <c r="X47" s="79"/>
      <c r="Y47" s="79"/>
      <c r="Z47" s="83" t="s">
        <v>64</v>
      </c>
      <c r="AA47" s="117">
        <f>IF((50000-M21-M24-M25-M26-M27)&gt;M28,50000-M21-M24-M25-M26-M27-M28-M31,0)</f>
        <v>0</v>
      </c>
      <c r="AB47" s="79"/>
    </row>
    <row r="48" spans="1:30" ht="14.25" customHeight="1" x14ac:dyDescent="0.25">
      <c r="A48" s="151"/>
      <c r="B48" s="58"/>
      <c r="C48" s="59"/>
      <c r="D48" s="59"/>
      <c r="E48" s="101"/>
      <c r="F48" s="60"/>
      <c r="G48" s="71"/>
      <c r="H48" s="71"/>
      <c r="I48" s="61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W48" s="124" t="s">
        <v>46</v>
      </c>
      <c r="X48" s="125">
        <v>12500</v>
      </c>
      <c r="Z48" s="126" t="s">
        <v>67</v>
      </c>
      <c r="AA48" s="127">
        <f>IF((M24+M25+M26+M27+M28+M29+M31)&gt;37500,IF((150000-37500)-(M29+M31)&lt;0,0,(150000)-(M29+M31)),IF((150000)-(M29+M31)&lt;0,0,(150000)-(M28)))</f>
        <v>150000</v>
      </c>
    </row>
    <row r="49" spans="1:27" ht="15.75" customHeight="1" x14ac:dyDescent="0.25">
      <c r="A49" s="151"/>
      <c r="B49" s="58"/>
      <c r="C49" s="59"/>
      <c r="D49" s="59"/>
      <c r="E49" s="101" t="s">
        <v>69</v>
      </c>
      <c r="F49" s="60"/>
      <c r="G49" s="132"/>
      <c r="H49" s="131"/>
      <c r="I49" s="61"/>
      <c r="J49" s="60"/>
      <c r="K49" s="133" t="s">
        <v>68</v>
      </c>
      <c r="L49" s="134"/>
      <c r="M49" s="134"/>
      <c r="N49" s="134"/>
      <c r="O49" s="60"/>
      <c r="P49" s="60"/>
      <c r="Q49" s="60"/>
      <c r="R49" s="60"/>
      <c r="S49" s="60"/>
      <c r="T49" s="60"/>
      <c r="W49" s="124" t="s">
        <v>50</v>
      </c>
      <c r="X49" s="128">
        <v>37500</v>
      </c>
      <c r="Z49" s="126" t="s">
        <v>89</v>
      </c>
      <c r="AA49" s="129">
        <f>X41+AA31+AA38</f>
        <v>14585</v>
      </c>
    </row>
    <row r="50" spans="1:27" ht="15.75" customHeight="1" x14ac:dyDescent="0.25">
      <c r="A50" s="151"/>
      <c r="B50" s="58"/>
      <c r="C50" s="59"/>
      <c r="D50" s="59"/>
      <c r="E50" s="59"/>
      <c r="F50" s="60"/>
      <c r="G50" s="60"/>
      <c r="H50" s="60"/>
      <c r="I50" s="61"/>
      <c r="J50" s="60"/>
      <c r="K50" s="102"/>
      <c r="L50" s="103"/>
      <c r="M50" s="103"/>
      <c r="N50" s="104"/>
      <c r="O50" s="105"/>
      <c r="P50" s="60"/>
      <c r="Q50" s="60"/>
      <c r="R50" s="60"/>
      <c r="S50" s="60"/>
      <c r="T50" s="60"/>
      <c r="W50" s="124" t="s">
        <v>54</v>
      </c>
      <c r="X50" s="128">
        <v>150000</v>
      </c>
    </row>
    <row r="51" spans="1:27" ht="15.75" customHeight="1" x14ac:dyDescent="0.25">
      <c r="A51" s="151"/>
      <c r="B51" s="58"/>
      <c r="C51" s="59"/>
      <c r="D51" s="59"/>
      <c r="E51" s="59"/>
      <c r="F51" s="60"/>
      <c r="G51" s="60"/>
      <c r="H51" s="60"/>
      <c r="I51" s="61"/>
      <c r="J51" s="60"/>
      <c r="K51" s="135" t="s">
        <v>70</v>
      </c>
      <c r="L51" s="134"/>
      <c r="M51" s="134"/>
      <c r="N51" s="137"/>
      <c r="O51" s="106"/>
      <c r="P51" s="60"/>
      <c r="Q51" s="60"/>
      <c r="R51" s="60"/>
      <c r="S51" s="60"/>
      <c r="T51" s="60"/>
      <c r="Z51" s="108">
        <f>M26+M28+M33+M32</f>
        <v>67143</v>
      </c>
      <c r="AA51" s="109" t="b">
        <f>Z51&lt;=AA44</f>
        <v>0</v>
      </c>
    </row>
    <row r="52" spans="1:27" ht="15.75" customHeight="1" x14ac:dyDescent="0.25">
      <c r="A52" s="151"/>
      <c r="B52" s="58"/>
      <c r="C52" s="59"/>
      <c r="D52" s="59"/>
      <c r="E52" s="101" t="s">
        <v>71</v>
      </c>
      <c r="F52" s="60"/>
      <c r="G52" s="132"/>
      <c r="H52" s="131"/>
      <c r="I52" s="61"/>
      <c r="J52" s="60"/>
      <c r="K52" s="136"/>
      <c r="L52" s="134"/>
      <c r="M52" s="134"/>
      <c r="N52" s="138"/>
      <c r="O52" s="106"/>
      <c r="P52" s="60"/>
      <c r="Q52" s="60"/>
      <c r="R52" s="60"/>
      <c r="S52" s="60"/>
      <c r="T52" s="60"/>
      <c r="Z52" s="108">
        <f>M26+M28+M29+M33+M32+M34</f>
        <v>67143</v>
      </c>
      <c r="AA52" s="109" t="b">
        <f>Z52=L22</f>
        <v>0</v>
      </c>
    </row>
    <row r="53" spans="1:27" ht="15.75" customHeight="1" x14ac:dyDescent="0.25">
      <c r="A53" s="151"/>
      <c r="B53" s="110"/>
      <c r="C53" s="111"/>
      <c r="D53" s="111"/>
      <c r="E53" s="111"/>
      <c r="F53" s="111"/>
      <c r="G53" s="111"/>
      <c r="H53" s="111"/>
      <c r="I53" s="112"/>
      <c r="J53" s="60"/>
      <c r="K53" s="107"/>
      <c r="L53" s="60"/>
      <c r="M53" s="60"/>
      <c r="N53" s="60"/>
      <c r="O53" s="106"/>
      <c r="P53" s="60"/>
      <c r="Q53" s="60"/>
      <c r="R53" s="60"/>
      <c r="S53" s="60"/>
      <c r="T53" s="60"/>
      <c r="Z53" s="113"/>
      <c r="AA53" s="113"/>
    </row>
    <row r="54" spans="1:27" ht="15.75" customHeight="1" x14ac:dyDescent="0.25">
      <c r="A54" s="151"/>
      <c r="B54" s="60"/>
      <c r="C54" s="60"/>
      <c r="D54" s="60"/>
      <c r="E54" s="60"/>
      <c r="F54" s="60"/>
      <c r="G54" s="60"/>
      <c r="H54" s="60"/>
      <c r="I54" s="60"/>
      <c r="J54" s="60"/>
      <c r="K54" s="139" t="s">
        <v>72</v>
      </c>
      <c r="L54" s="134"/>
      <c r="M54" s="134"/>
      <c r="N54" s="140">
        <f>IF((N47-N36-N37)&gt;1000,IF(X45&lt;0.8,(N47-N36-N37)/2,0),0)</f>
        <v>18922.584999999999</v>
      </c>
      <c r="O54" s="106"/>
      <c r="P54" s="60"/>
      <c r="Q54" s="60"/>
      <c r="R54" s="60"/>
      <c r="S54" s="60"/>
      <c r="T54" s="60"/>
      <c r="Z54" s="114" t="s">
        <v>73</v>
      </c>
      <c r="AA54" s="108">
        <f>IF((L22)&gt;AA46,0,IF((L22)&gt;AA44,500,1000))</f>
        <v>500</v>
      </c>
    </row>
    <row r="55" spans="1:27" ht="15.75" customHeight="1" x14ac:dyDescent="0.25">
      <c r="A55" s="151"/>
      <c r="B55" s="60"/>
      <c r="C55" s="60"/>
      <c r="D55" s="60"/>
      <c r="E55" s="60"/>
      <c r="F55" s="60"/>
      <c r="G55" s="60"/>
      <c r="H55" s="60"/>
      <c r="I55" s="60"/>
      <c r="J55" s="60"/>
      <c r="K55" s="136"/>
      <c r="L55" s="134"/>
      <c r="M55" s="134"/>
      <c r="N55" s="134"/>
      <c r="O55" s="106"/>
      <c r="P55" s="60"/>
      <c r="Q55" s="60"/>
      <c r="R55" s="60"/>
      <c r="S55" s="60"/>
      <c r="T55" s="60"/>
      <c r="Z55" s="114" t="s">
        <v>75</v>
      </c>
      <c r="AA55" s="108">
        <f>IF((G24+G35+G40+G43+G30-AA30)&gt;(X38+5000),0,IF((G24+G35+G40+G43+G30-AA30)&lt;(X38),5000,(5000+(X38-(G24+G35+G40+G43+G30-AA30)))))</f>
        <v>0</v>
      </c>
    </row>
    <row r="56" spans="1:27" ht="15.75" customHeight="1" x14ac:dyDescent="0.25">
      <c r="A56" s="151"/>
      <c r="B56" s="60"/>
      <c r="C56" s="60"/>
      <c r="D56" s="60"/>
      <c r="E56" s="60"/>
      <c r="F56" s="60"/>
      <c r="G56" s="60"/>
      <c r="H56" s="60"/>
      <c r="I56" s="60"/>
      <c r="J56" s="60"/>
      <c r="K56" s="107"/>
      <c r="L56" s="60"/>
      <c r="M56" s="60"/>
      <c r="N56" s="60"/>
      <c r="O56" s="106"/>
      <c r="P56" s="60"/>
      <c r="Q56" s="60"/>
      <c r="R56" s="60"/>
      <c r="S56" s="60"/>
      <c r="T56" s="60"/>
      <c r="Z56" s="114" t="s">
        <v>76</v>
      </c>
      <c r="AA56" s="108">
        <v>2000</v>
      </c>
    </row>
    <row r="57" spans="1:27" ht="15.75" customHeight="1" x14ac:dyDescent="0.25">
      <c r="A57" s="151"/>
      <c r="B57" s="60"/>
      <c r="C57" s="60"/>
      <c r="D57" s="60"/>
      <c r="E57" s="60"/>
      <c r="F57" s="60"/>
      <c r="G57" s="60"/>
      <c r="H57" s="60"/>
      <c r="I57" s="60"/>
      <c r="J57" s="60"/>
      <c r="K57" s="141" t="s">
        <v>74</v>
      </c>
      <c r="L57" s="134"/>
      <c r="M57" s="134"/>
      <c r="N57" s="142">
        <f>N47-N51+N54</f>
        <v>56767.754999999997</v>
      </c>
      <c r="O57" s="106"/>
      <c r="P57" s="60"/>
      <c r="Q57" s="60"/>
      <c r="R57" s="60"/>
      <c r="S57" s="60"/>
      <c r="T57" s="60"/>
      <c r="Z57" s="113"/>
      <c r="AA57" s="113"/>
    </row>
    <row r="58" spans="1:27" ht="15.75" customHeight="1" x14ac:dyDescent="0.25">
      <c r="A58" s="151"/>
      <c r="B58" s="60"/>
      <c r="C58" s="60"/>
      <c r="D58" s="60"/>
      <c r="E58" s="60"/>
      <c r="F58" s="60"/>
      <c r="G58" s="60"/>
      <c r="H58" s="60"/>
      <c r="I58" s="60"/>
      <c r="J58" s="60"/>
      <c r="K58" s="136"/>
      <c r="L58" s="134"/>
      <c r="M58" s="134"/>
      <c r="N58" s="143"/>
      <c r="O58" s="106"/>
      <c r="P58" s="60"/>
      <c r="Q58" s="60"/>
      <c r="R58" s="60"/>
      <c r="S58" s="60"/>
      <c r="T58" s="60"/>
      <c r="Z58" s="114" t="s">
        <v>78</v>
      </c>
      <c r="AA58" s="114">
        <f>IF(IF($G$17=W18,IF(($AA$32-18390*9%)&lt;0,0,($AA$32-19390)*9%),0)&lt;0,0,IF($G$17=W18,IF(($AA$32-19390*9%)&lt;0,0,($AA$32-19390)*9%),0))</f>
        <v>0</v>
      </c>
    </row>
    <row r="59" spans="1:27" ht="15.75" customHeight="1" x14ac:dyDescent="0.25">
      <c r="A59" s="151"/>
      <c r="B59" s="60"/>
      <c r="C59" s="60"/>
      <c r="D59" s="60"/>
      <c r="E59" s="60"/>
      <c r="F59" s="60"/>
      <c r="G59" s="60"/>
      <c r="H59" s="60"/>
      <c r="I59" s="60"/>
      <c r="J59" s="60"/>
      <c r="K59" s="107"/>
      <c r="L59" s="60"/>
      <c r="M59" s="60"/>
      <c r="N59" s="60"/>
      <c r="O59" s="106"/>
      <c r="P59" s="60"/>
      <c r="Q59" s="60"/>
      <c r="R59" s="60"/>
      <c r="S59" s="60"/>
      <c r="T59" s="60"/>
      <c r="Z59" s="114" t="s">
        <v>79</v>
      </c>
      <c r="AA59" s="114">
        <f>IF(IF($G$17=W19,IF(($AA$32-26575*9%)&lt;0,0,($AA$32-26575)*9%),0)&lt;0,0,IF($G$17=W19,IF(($AA$32-26575*9%)&lt;0,0,($AA$32-26575)*9%),0))</f>
        <v>0</v>
      </c>
    </row>
    <row r="60" spans="1:27" ht="15.75" customHeight="1" x14ac:dyDescent="0.25">
      <c r="A60" s="151"/>
      <c r="B60" s="60"/>
      <c r="C60" s="60"/>
      <c r="D60" s="60"/>
      <c r="E60" s="60"/>
      <c r="F60" s="60"/>
      <c r="G60" s="60"/>
      <c r="H60" s="60"/>
      <c r="I60" s="60"/>
      <c r="J60" s="60"/>
      <c r="K60" s="144" t="s">
        <v>77</v>
      </c>
      <c r="L60" s="145"/>
      <c r="M60" s="146"/>
      <c r="N60" s="140">
        <f>N54</f>
        <v>18922.584999999999</v>
      </c>
      <c r="O60" s="106"/>
      <c r="P60" s="60"/>
      <c r="Q60" s="60"/>
      <c r="R60" s="60"/>
      <c r="S60" s="60"/>
      <c r="T60" s="60"/>
      <c r="Z60" s="114" t="s">
        <v>80</v>
      </c>
      <c r="AA60" s="116">
        <f>IF($G$21=W22,IF(($AA$32-18330*9%)&lt;0,0,($AA$32-18330)*9%),0)</f>
        <v>0</v>
      </c>
    </row>
    <row r="61" spans="1:27" ht="15.75" customHeight="1" x14ac:dyDescent="0.25">
      <c r="A61" s="151"/>
      <c r="B61" s="60"/>
      <c r="C61" s="60"/>
      <c r="D61" s="60"/>
      <c r="E61" s="60"/>
      <c r="F61" s="60"/>
      <c r="G61" s="60"/>
      <c r="H61" s="60"/>
      <c r="I61" s="60"/>
      <c r="J61" s="60"/>
      <c r="K61" s="147"/>
      <c r="L61" s="148"/>
      <c r="M61" s="149"/>
      <c r="N61" s="148"/>
      <c r="O61" s="115"/>
      <c r="P61" s="60"/>
      <c r="Q61" s="60"/>
      <c r="R61" s="60"/>
      <c r="S61" s="60"/>
      <c r="T61" s="60"/>
      <c r="Z61" s="117"/>
    </row>
    <row r="62" spans="1:27" ht="15.75" customHeight="1" x14ac:dyDescent="0.25">
      <c r="A62" s="151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7" ht="15.75" customHeight="1" x14ac:dyDescent="0.25">
      <c r="A63" s="15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7" ht="15.75" customHeight="1" x14ac:dyDescent="0.25">
      <c r="A64" s="15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6" ht="15.75" customHeight="1" x14ac:dyDescent="0.25">
      <c r="A65" s="151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Z65" s="118" t="s">
        <v>81</v>
      </c>
    </row>
    <row r="66" spans="1:26" ht="15.75" customHeight="1" x14ac:dyDescent="0.25">
      <c r="A66" s="151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6" ht="15.75" customHeight="1" x14ac:dyDescent="0.25">
      <c r="A67" s="151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6" ht="15.75" customHeight="1" x14ac:dyDescent="0.25">
      <c r="A68" s="15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6" ht="15.75" customHeight="1" x14ac:dyDescent="0.25">
      <c r="A69" s="15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6" ht="15.75" customHeight="1" x14ac:dyDescent="0.25">
      <c r="A70" s="151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6" ht="15.75" customHeight="1" x14ac:dyDescent="0.25">
      <c r="A71" s="15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6" ht="15.75" customHeight="1" x14ac:dyDescent="0.25">
      <c r="A72" s="151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6" ht="15.75" customHeight="1" x14ac:dyDescent="0.25">
      <c r="A73" s="151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6" ht="15.75" customHeight="1" x14ac:dyDescent="0.25">
      <c r="A74" s="151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6" ht="15.75" customHeight="1" x14ac:dyDescent="0.25">
      <c r="A75" s="151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6" ht="15.75" customHeight="1" x14ac:dyDescent="0.25">
      <c r="A76" s="151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6" ht="15.75" customHeight="1" x14ac:dyDescent="0.25">
      <c r="A77" s="151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6" ht="15.75" customHeight="1" x14ac:dyDescent="0.25">
      <c r="A78" s="151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6" ht="15.75" customHeight="1" x14ac:dyDescent="0.25">
      <c r="A79" s="151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  <row r="80" spans="1:26" ht="15.75" customHeight="1" x14ac:dyDescent="0.25">
      <c r="A80" s="15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</row>
    <row r="81" spans="1:20" ht="15.75" customHeight="1" x14ac:dyDescent="0.25">
      <c r="A81" s="151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</row>
    <row r="82" spans="1:20" ht="15.75" customHeight="1" x14ac:dyDescent="0.25">
      <c r="A82" s="151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1:20" ht="15.75" customHeight="1" x14ac:dyDescent="0.25">
      <c r="A83" s="151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</row>
    <row r="84" spans="1:20" ht="15.75" customHeight="1" x14ac:dyDescent="0.25">
      <c r="A84" s="151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</row>
    <row r="85" spans="1:20" ht="15.75" customHeight="1" x14ac:dyDescent="0.25">
      <c r="A85" s="151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 ht="15.75" customHeight="1" x14ac:dyDescent="0.25">
      <c r="A86" s="151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</row>
    <row r="87" spans="1:20" ht="15.75" customHeight="1" x14ac:dyDescent="0.25">
      <c r="A87" s="151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</row>
    <row r="88" spans="1:20" ht="15.75" customHeight="1" x14ac:dyDescent="0.25">
      <c r="A88" s="151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</row>
    <row r="89" spans="1:20" ht="15.75" customHeight="1" x14ac:dyDescent="0.25">
      <c r="A89" s="151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</row>
    <row r="90" spans="1:20" ht="15.75" customHeight="1" x14ac:dyDescent="0.25">
      <c r="A90" s="151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</row>
    <row r="91" spans="1:20" ht="15.75" customHeight="1" x14ac:dyDescent="0.25">
      <c r="A91" s="151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</row>
    <row r="92" spans="1:20" ht="15.75" customHeight="1" x14ac:dyDescent="0.25">
      <c r="A92" s="151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</row>
    <row r="93" spans="1:20" ht="15.75" customHeight="1" x14ac:dyDescent="0.25">
      <c r="A93" s="151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ht="15.75" customHeight="1" x14ac:dyDescent="0.25">
      <c r="A94" s="151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ht="15.75" customHeight="1" x14ac:dyDescent="0.25">
      <c r="A95" s="151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</row>
    <row r="96" spans="1:20" ht="15.75" customHeight="1" x14ac:dyDescent="0.25">
      <c r="A96" s="151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</row>
    <row r="97" spans="1:20" ht="15.75" customHeight="1" x14ac:dyDescent="0.25">
      <c r="A97" s="151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</row>
    <row r="98" spans="1:20" ht="15.75" customHeight="1" x14ac:dyDescent="0.25">
      <c r="A98" s="151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20" ht="15.75" customHeight="1" x14ac:dyDescent="0.25">
      <c r="A99" s="151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</row>
    <row r="100" spans="1:20" ht="15.75" customHeight="1" x14ac:dyDescent="0.25">
      <c r="A100" s="151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</row>
    <row r="101" spans="1:20" ht="15.75" customHeight="1" x14ac:dyDescent="0.25">
      <c r="A101" s="151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</row>
    <row r="102" spans="1:20" ht="15.75" customHeight="1" x14ac:dyDescent="0.25">
      <c r="A102" s="151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</row>
    <row r="103" spans="1:20" ht="15.75" customHeight="1" x14ac:dyDescent="0.25">
      <c r="A103" s="151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0" ht="15.75" customHeight="1" x14ac:dyDescent="0.25">
      <c r="A104" s="151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1:20" ht="15.75" customHeight="1" x14ac:dyDescent="0.25">
      <c r="A105" s="151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</row>
    <row r="106" spans="1:20" ht="15.75" customHeight="1" x14ac:dyDescent="0.25">
      <c r="A106" s="151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</row>
    <row r="107" spans="1:20" ht="15.75" customHeight="1" x14ac:dyDescent="0.25">
      <c r="A107" s="151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</row>
    <row r="108" spans="1:20" ht="15.75" customHeight="1" x14ac:dyDescent="0.25">
      <c r="A108" s="151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  <row r="109" spans="1:20" ht="15.75" customHeight="1" x14ac:dyDescent="0.25">
      <c r="A109" s="151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</row>
    <row r="110" spans="1:20" ht="15.75" customHeight="1" x14ac:dyDescent="0.25">
      <c r="A110" s="151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1:20" ht="15.75" customHeight="1" x14ac:dyDescent="0.25">
      <c r="A111" s="151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0" ht="15.75" customHeight="1" x14ac:dyDescent="0.25">
      <c r="A112" s="151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 ht="15.75" customHeight="1" x14ac:dyDescent="0.25">
      <c r="A113" s="151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 ht="15.75" customHeight="1" x14ac:dyDescent="0.25">
      <c r="A114" s="151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 ht="15.75" customHeight="1" x14ac:dyDescent="0.25">
      <c r="A115" s="151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 ht="15.75" customHeight="1" x14ac:dyDescent="0.25">
      <c r="A116" s="151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 ht="15.75" customHeight="1" x14ac:dyDescent="0.25">
      <c r="A117" s="151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1:20" ht="15.75" customHeight="1" x14ac:dyDescent="0.25">
      <c r="A118" s="151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1:20" ht="15.75" customHeight="1" x14ac:dyDescent="0.25">
      <c r="A119" s="151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1:20" ht="15.75" customHeight="1" x14ac:dyDescent="0.25">
      <c r="A120" s="151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20" ht="15.75" customHeight="1" x14ac:dyDescent="0.25">
      <c r="A121" s="151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20" ht="15.75" customHeight="1" x14ac:dyDescent="0.25">
      <c r="A122" s="151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</row>
    <row r="123" spans="1:20" ht="15.75" customHeight="1" x14ac:dyDescent="0.25">
      <c r="A123" s="151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</row>
    <row r="124" spans="1:20" ht="15.75" customHeight="1" x14ac:dyDescent="0.25">
      <c r="A124" s="151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</row>
    <row r="125" spans="1:20" ht="15.75" customHeight="1" x14ac:dyDescent="0.25">
      <c r="A125" s="151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</row>
    <row r="126" spans="1:20" ht="15.75" customHeight="1" x14ac:dyDescent="0.25">
      <c r="A126" s="151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</row>
    <row r="127" spans="1:20" ht="15.75" customHeight="1" x14ac:dyDescent="0.25">
      <c r="A127" s="151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</row>
    <row r="128" spans="1:20" ht="15.75" customHeight="1" x14ac:dyDescent="0.25">
      <c r="A128" s="151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</row>
    <row r="129" spans="1:20" ht="15.75" customHeight="1" x14ac:dyDescent="0.25">
      <c r="A129" s="151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</row>
    <row r="130" spans="1:20" ht="15.75" customHeight="1" x14ac:dyDescent="0.25">
      <c r="A130" s="151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</row>
    <row r="131" spans="1:20" ht="15.75" customHeight="1" x14ac:dyDescent="0.25">
      <c r="A131" s="151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</row>
    <row r="132" spans="1:20" ht="15.75" customHeight="1" x14ac:dyDescent="0.25">
      <c r="A132" s="151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</row>
    <row r="133" spans="1:20" ht="15.75" customHeight="1" x14ac:dyDescent="0.25">
      <c r="A133" s="151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</row>
    <row r="134" spans="1:20" ht="15.75" customHeight="1" x14ac:dyDescent="0.25">
      <c r="A134" s="151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</row>
    <row r="135" spans="1:20" ht="15.75" customHeight="1" x14ac:dyDescent="0.25">
      <c r="A135" s="151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</row>
    <row r="136" spans="1:20" ht="15.75" customHeight="1" x14ac:dyDescent="0.25">
      <c r="A136" s="151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</row>
    <row r="137" spans="1:20" ht="15.75" customHeight="1" x14ac:dyDescent="0.25">
      <c r="A137" s="151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</row>
    <row r="138" spans="1:20" ht="15.75" customHeight="1" x14ac:dyDescent="0.25">
      <c r="A138" s="151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</row>
    <row r="139" spans="1:20" ht="15.75" customHeight="1" x14ac:dyDescent="0.25">
      <c r="A139" s="151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</row>
    <row r="140" spans="1:20" ht="15.75" customHeight="1" x14ac:dyDescent="0.25">
      <c r="A140" s="151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</row>
    <row r="141" spans="1:20" ht="15.75" customHeight="1" x14ac:dyDescent="0.25">
      <c r="A141" s="151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</row>
    <row r="142" spans="1:20" ht="15.75" customHeight="1" x14ac:dyDescent="0.25">
      <c r="A142" s="151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</row>
    <row r="143" spans="1:20" ht="15.75" customHeight="1" x14ac:dyDescent="0.25">
      <c r="A143" s="151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</row>
    <row r="144" spans="1:20" ht="15.75" customHeight="1" x14ac:dyDescent="0.25">
      <c r="A144" s="151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</row>
    <row r="145" spans="1:20" ht="15.75" customHeight="1" x14ac:dyDescent="0.25">
      <c r="A145" s="151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</row>
    <row r="146" spans="1:20" ht="15.75" customHeight="1" x14ac:dyDescent="0.25">
      <c r="A146" s="151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</row>
    <row r="147" spans="1:20" ht="15.75" customHeight="1" x14ac:dyDescent="0.25">
      <c r="A147" s="151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</row>
    <row r="148" spans="1:20" ht="15.75" customHeight="1" x14ac:dyDescent="0.25">
      <c r="A148" s="151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</row>
    <row r="149" spans="1:20" ht="15.75" customHeight="1" x14ac:dyDescent="0.25">
      <c r="A149" s="151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</row>
    <row r="150" spans="1:20" ht="15.75" customHeight="1" x14ac:dyDescent="0.25">
      <c r="A150" s="151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</row>
    <row r="151" spans="1:20" ht="15.75" customHeight="1" x14ac:dyDescent="0.25">
      <c r="A151" s="151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</row>
    <row r="152" spans="1:20" ht="15.75" customHeight="1" x14ac:dyDescent="0.25">
      <c r="A152" s="151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</row>
    <row r="153" spans="1:20" ht="15.75" customHeight="1" x14ac:dyDescent="0.25">
      <c r="A153" s="151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</row>
    <row r="154" spans="1:20" ht="15.75" customHeight="1" x14ac:dyDescent="0.25">
      <c r="A154" s="151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</row>
    <row r="155" spans="1:20" ht="15.75" customHeight="1" x14ac:dyDescent="0.25">
      <c r="A155" s="151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1:20" ht="15.75" customHeight="1" x14ac:dyDescent="0.25">
      <c r="A156" s="151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</row>
    <row r="157" spans="1:20" ht="15.75" customHeight="1" x14ac:dyDescent="0.25">
      <c r="A157" s="15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</row>
    <row r="158" spans="1:20" ht="15.75" customHeight="1" x14ac:dyDescent="0.25">
      <c r="A158" s="151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</row>
    <row r="159" spans="1:20" ht="15.75" customHeight="1" x14ac:dyDescent="0.25">
      <c r="A159" s="151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</row>
    <row r="160" spans="1:20" ht="15.75" customHeight="1" x14ac:dyDescent="0.25">
      <c r="A160" s="151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1:20" ht="15.75" customHeight="1" x14ac:dyDescent="0.25">
      <c r="A161" s="151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</row>
    <row r="162" spans="1:20" ht="15.75" customHeight="1" x14ac:dyDescent="0.25">
      <c r="A162" s="151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</row>
    <row r="163" spans="1:20" ht="15.75" customHeight="1" x14ac:dyDescent="0.25">
      <c r="A163" s="151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</row>
    <row r="164" spans="1:20" ht="15.75" customHeight="1" x14ac:dyDescent="0.25">
      <c r="A164" s="151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</row>
    <row r="165" spans="1:20" ht="15.75" customHeight="1" x14ac:dyDescent="0.25">
      <c r="A165" s="151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1:20" ht="15.75" customHeight="1" x14ac:dyDescent="0.25">
      <c r="A166" s="151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</row>
    <row r="167" spans="1:20" ht="15.75" customHeight="1" x14ac:dyDescent="0.25">
      <c r="A167" s="151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</row>
    <row r="168" spans="1:20" ht="15.75" customHeight="1" x14ac:dyDescent="0.25">
      <c r="A168" s="151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</row>
    <row r="169" spans="1:20" ht="15.75" customHeight="1" x14ac:dyDescent="0.25">
      <c r="A169" s="151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</row>
    <row r="170" spans="1:20" ht="15.75" customHeight="1" x14ac:dyDescent="0.25">
      <c r="A170" s="151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</row>
    <row r="171" spans="1:20" ht="15.75" customHeight="1" x14ac:dyDescent="0.25">
      <c r="A171" s="151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0" ht="15.75" customHeight="1" x14ac:dyDescent="0.25">
      <c r="A172" s="151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</row>
    <row r="173" spans="1:20" ht="15.75" customHeight="1" x14ac:dyDescent="0.25">
      <c r="A173" s="151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</row>
    <row r="174" spans="1:20" ht="15.75" customHeight="1" x14ac:dyDescent="0.25">
      <c r="A174" s="151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</row>
    <row r="175" spans="1:20" ht="15.75" customHeight="1" x14ac:dyDescent="0.25">
      <c r="A175" s="151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</row>
    <row r="176" spans="1:20" ht="15.75" customHeight="1" x14ac:dyDescent="0.25">
      <c r="A176" s="151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</row>
    <row r="177" spans="1:20" ht="15.75" customHeight="1" x14ac:dyDescent="0.25">
      <c r="A177" s="151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</row>
    <row r="178" spans="1:20" ht="15.75" customHeight="1" x14ac:dyDescent="0.25">
      <c r="A178" s="151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</row>
    <row r="179" spans="1:20" ht="15.75" customHeight="1" x14ac:dyDescent="0.25">
      <c r="A179" s="151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</row>
    <row r="180" spans="1:20" ht="15.75" customHeight="1" x14ac:dyDescent="0.25">
      <c r="A180" s="151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</row>
    <row r="181" spans="1:20" ht="15.75" customHeight="1" x14ac:dyDescent="0.25">
      <c r="A181" s="151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</row>
    <row r="182" spans="1:20" ht="15.75" customHeight="1" x14ac:dyDescent="0.25">
      <c r="A182" s="151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</row>
    <row r="183" spans="1:20" ht="15.75" customHeight="1" x14ac:dyDescent="0.25">
      <c r="A183" s="151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</row>
    <row r="184" spans="1:20" ht="15.75" customHeight="1" x14ac:dyDescent="0.25">
      <c r="A184" s="151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</row>
    <row r="185" spans="1:20" ht="15.75" customHeight="1" x14ac:dyDescent="0.25">
      <c r="A185" s="151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</row>
    <row r="186" spans="1:20" ht="15.75" customHeight="1" x14ac:dyDescent="0.25">
      <c r="A186" s="151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</row>
    <row r="187" spans="1:20" ht="15.75" customHeight="1" x14ac:dyDescent="0.25">
      <c r="A187" s="151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</row>
    <row r="188" spans="1:20" ht="15.75" customHeight="1" x14ac:dyDescent="0.25">
      <c r="A188" s="151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0" ht="15.75" customHeight="1" x14ac:dyDescent="0.25">
      <c r="A189" s="151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0" ht="15.75" customHeight="1" x14ac:dyDescent="0.25">
      <c r="A190" s="151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0" ht="15.75" customHeight="1" x14ac:dyDescent="0.25">
      <c r="A191" s="151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</row>
    <row r="192" spans="1:20" ht="15.75" customHeight="1" x14ac:dyDescent="0.25">
      <c r="A192" s="151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</row>
    <row r="193" spans="1:20" ht="15.75" customHeight="1" x14ac:dyDescent="0.25">
      <c r="A193" s="151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</row>
    <row r="194" spans="1:20" ht="15.75" customHeight="1" x14ac:dyDescent="0.25">
      <c r="A194" s="151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</row>
    <row r="195" spans="1:20" ht="15.75" customHeight="1" x14ac:dyDescent="0.25">
      <c r="A195" s="151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</row>
    <row r="196" spans="1:20" ht="15.75" customHeight="1" x14ac:dyDescent="0.25">
      <c r="A196" s="151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</row>
    <row r="197" spans="1:20" ht="15.75" customHeight="1" x14ac:dyDescent="0.25">
      <c r="A197" s="151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</row>
    <row r="198" spans="1:20" ht="15.75" customHeight="1" x14ac:dyDescent="0.25">
      <c r="A198" s="15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</row>
    <row r="199" spans="1:20" ht="15.75" customHeight="1" x14ac:dyDescent="0.25">
      <c r="A199" s="151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</row>
    <row r="200" spans="1:20" ht="15.75" customHeight="1" x14ac:dyDescent="0.25">
      <c r="A200" s="151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</row>
    <row r="201" spans="1:20" ht="15.75" customHeight="1" x14ac:dyDescent="0.25">
      <c r="A201" s="151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</row>
    <row r="202" spans="1:20" ht="15.75" customHeight="1" x14ac:dyDescent="0.25">
      <c r="A202" s="151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</row>
    <row r="203" spans="1:20" ht="15.75" customHeight="1" x14ac:dyDescent="0.25">
      <c r="A203" s="151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</row>
    <row r="204" spans="1:20" ht="15.75" customHeight="1" x14ac:dyDescent="0.25">
      <c r="A204" s="151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</row>
    <row r="205" spans="1:20" ht="15.75" customHeight="1" x14ac:dyDescent="0.25">
      <c r="A205" s="151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</row>
    <row r="206" spans="1:20" ht="15.75" customHeight="1" x14ac:dyDescent="0.25">
      <c r="A206" s="151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</row>
    <row r="207" spans="1:20" ht="15.75" customHeight="1" x14ac:dyDescent="0.25">
      <c r="A207" s="151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</row>
    <row r="208" spans="1:20" ht="15.75" customHeight="1" x14ac:dyDescent="0.25">
      <c r="A208" s="151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</row>
    <row r="209" spans="1:20" ht="15.75" customHeight="1" x14ac:dyDescent="0.25">
      <c r="A209" s="151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</row>
    <row r="210" spans="1:20" ht="15.75" customHeight="1" x14ac:dyDescent="0.25">
      <c r="A210" s="151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</row>
    <row r="211" spans="1:20" ht="15.75" customHeight="1" x14ac:dyDescent="0.25">
      <c r="A211" s="151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</row>
    <row r="212" spans="1:20" ht="15.75" customHeight="1" x14ac:dyDescent="0.25">
      <c r="A212" s="151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</row>
    <row r="213" spans="1:20" ht="15.75" customHeight="1" x14ac:dyDescent="0.25">
      <c r="A213" s="151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</row>
    <row r="214" spans="1:20" ht="15.75" customHeight="1" x14ac:dyDescent="0.25">
      <c r="A214" s="151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</row>
    <row r="215" spans="1:20" ht="15.75" customHeight="1" x14ac:dyDescent="0.25">
      <c r="A215" s="151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</row>
    <row r="216" spans="1:20" ht="15.75" customHeight="1" x14ac:dyDescent="0.25">
      <c r="A216" s="151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</row>
    <row r="217" spans="1:20" ht="15.75" customHeight="1" x14ac:dyDescent="0.25">
      <c r="A217" s="151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</row>
    <row r="218" spans="1:20" ht="15.75" customHeight="1" x14ac:dyDescent="0.25">
      <c r="A218" s="151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</row>
    <row r="219" spans="1:20" ht="15.75" customHeight="1" x14ac:dyDescent="0.25">
      <c r="A219" s="151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</row>
    <row r="220" spans="1:20" ht="15.75" customHeight="1" x14ac:dyDescent="0.25">
      <c r="A220" s="151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</row>
    <row r="221" spans="1:20" ht="15.75" customHeight="1" x14ac:dyDescent="0.25">
      <c r="A221" s="151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</row>
    <row r="222" spans="1:20" ht="15.75" customHeight="1" x14ac:dyDescent="0.25">
      <c r="A222" s="151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</row>
    <row r="223" spans="1:20" ht="15.75" customHeight="1" x14ac:dyDescent="0.25">
      <c r="A223" s="151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</row>
    <row r="224" spans="1:20" ht="15.75" customHeight="1" x14ac:dyDescent="0.25">
      <c r="A224" s="151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</row>
    <row r="225" spans="1:20" ht="15.75" customHeight="1" x14ac:dyDescent="0.25">
      <c r="A225" s="151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</row>
    <row r="226" spans="1:20" ht="15.75" customHeight="1" x14ac:dyDescent="0.25">
      <c r="A226" s="151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</row>
    <row r="227" spans="1:20" ht="15.75" customHeight="1" x14ac:dyDescent="0.25">
      <c r="A227" s="151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</row>
    <row r="228" spans="1:20" ht="15.75" customHeight="1" x14ac:dyDescent="0.25">
      <c r="A228" s="151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</row>
    <row r="229" spans="1:20" ht="15.75" customHeight="1" x14ac:dyDescent="0.25">
      <c r="A229" s="151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</row>
    <row r="230" spans="1:20" ht="15.75" customHeight="1" x14ac:dyDescent="0.25">
      <c r="A230" s="151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</row>
    <row r="231" spans="1:20" ht="15.75" customHeight="1" x14ac:dyDescent="0.25">
      <c r="A231" s="151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</row>
    <row r="232" spans="1:20" ht="15.75" customHeight="1" x14ac:dyDescent="0.25">
      <c r="A232" s="151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</row>
    <row r="233" spans="1:20" ht="15.75" customHeight="1" x14ac:dyDescent="0.25">
      <c r="A233" s="151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</row>
    <row r="234" spans="1:20" ht="15.75" customHeight="1" x14ac:dyDescent="0.25">
      <c r="A234" s="151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</row>
    <row r="235" spans="1:20" ht="15.75" customHeight="1" x14ac:dyDescent="0.25">
      <c r="A235" s="151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</row>
    <row r="236" spans="1:20" ht="15.75" customHeight="1" x14ac:dyDescent="0.25">
      <c r="A236" s="151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</row>
    <row r="237" spans="1:20" ht="15.75" customHeight="1" x14ac:dyDescent="0.25">
      <c r="A237" s="151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</row>
    <row r="238" spans="1:20" ht="15.75" customHeight="1" x14ac:dyDescent="0.25">
      <c r="A238" s="151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</row>
    <row r="239" spans="1:20" ht="15.75" customHeight="1" x14ac:dyDescent="0.25">
      <c r="A239" s="151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</row>
    <row r="240" spans="1:20" ht="15.75" customHeight="1" x14ac:dyDescent="0.25">
      <c r="A240" s="151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</row>
    <row r="241" spans="1:20" ht="15.75" customHeight="1" x14ac:dyDescent="0.25">
      <c r="A241" s="151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</row>
    <row r="242" spans="1:20" ht="15.75" customHeight="1" x14ac:dyDescent="0.25">
      <c r="A242" s="151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</row>
    <row r="243" spans="1:20" ht="15.75" customHeight="1" x14ac:dyDescent="0.25">
      <c r="A243" s="151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</row>
    <row r="244" spans="1:20" ht="15.75" customHeight="1" x14ac:dyDescent="0.25">
      <c r="A244" s="151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</row>
    <row r="245" spans="1:20" ht="15.75" customHeight="1" x14ac:dyDescent="0.25">
      <c r="A245" s="151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</row>
    <row r="246" spans="1:20" ht="15.75" customHeight="1" x14ac:dyDescent="0.25">
      <c r="A246" s="151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</row>
    <row r="247" spans="1:20" ht="15.75" customHeight="1" x14ac:dyDescent="0.25">
      <c r="A247" s="151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</row>
    <row r="248" spans="1:20" ht="15.75" customHeight="1" x14ac:dyDescent="0.25">
      <c r="A248" s="151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</row>
    <row r="249" spans="1:20" ht="15.75" customHeight="1" x14ac:dyDescent="0.25">
      <c r="A249" s="151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</row>
    <row r="250" spans="1:20" ht="15.75" customHeight="1" x14ac:dyDescent="0.25">
      <c r="A250" s="15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</row>
    <row r="251" spans="1:20" ht="15.75" customHeight="1" x14ac:dyDescent="0.25">
      <c r="A251" s="151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</row>
    <row r="252" spans="1:20" ht="15.75" customHeight="1" x14ac:dyDescent="0.25">
      <c r="A252" s="151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</row>
    <row r="253" spans="1:20" ht="15.75" customHeight="1" x14ac:dyDescent="0.25">
      <c r="A253" s="151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</row>
    <row r="254" spans="1:20" ht="15.75" customHeight="1" x14ac:dyDescent="0.25">
      <c r="A254" s="151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</row>
    <row r="255" spans="1:20" ht="15.75" customHeight="1" x14ac:dyDescent="0.25">
      <c r="A255" s="151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</row>
    <row r="256" spans="1:20" ht="15.75" customHeight="1" x14ac:dyDescent="0.25">
      <c r="A256" s="151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</row>
    <row r="257" spans="1:20" ht="15.75" customHeight="1" x14ac:dyDescent="0.25">
      <c r="A257" s="151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</row>
    <row r="258" spans="1:20" ht="15.75" customHeight="1" x14ac:dyDescent="0.25">
      <c r="A258" s="151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</row>
    <row r="259" spans="1:20" ht="15.75" customHeight="1" x14ac:dyDescent="0.25">
      <c r="A259" s="151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</row>
    <row r="260" spans="1:20" ht="15.75" customHeight="1" x14ac:dyDescent="0.25">
      <c r="A260" s="151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</row>
    <row r="261" spans="1:20" ht="15.75" customHeight="1" x14ac:dyDescent="0.25">
      <c r="A261" s="151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</row>
    <row r="262" spans="1:20" ht="15.75" customHeight="1" x14ac:dyDescent="0.25">
      <c r="A262" s="151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</row>
    <row r="263" spans="1:20" ht="15.75" customHeight="1" x14ac:dyDescent="0.25">
      <c r="A263" s="151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</row>
    <row r="264" spans="1:20" ht="15.75" customHeight="1" x14ac:dyDescent="0.25">
      <c r="A264" s="151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</row>
    <row r="265" spans="1:20" ht="15.75" customHeight="1" x14ac:dyDescent="0.25">
      <c r="A265" s="143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</row>
    <row r="266" spans="1:20" ht="15.75" customHeight="1" x14ac:dyDescent="0.2"/>
    <row r="267" spans="1:20" ht="15.75" customHeight="1" x14ac:dyDescent="0.2"/>
    <row r="268" spans="1:20" ht="15.75" customHeight="1" x14ac:dyDescent="0.2"/>
    <row r="269" spans="1:20" ht="15.75" customHeight="1" x14ac:dyDescent="0.2"/>
    <row r="270" spans="1:20" ht="15.75" customHeight="1" x14ac:dyDescent="0.2"/>
    <row r="271" spans="1:20" ht="15.75" customHeight="1" x14ac:dyDescent="0.2"/>
    <row r="272" spans="1:20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5">
    <mergeCell ref="G21:H21"/>
    <mergeCell ref="B24:E24"/>
    <mergeCell ref="G24:H24"/>
    <mergeCell ref="G30:H30"/>
    <mergeCell ref="C31:E32"/>
    <mergeCell ref="G26:H26"/>
    <mergeCell ref="B27:E28"/>
    <mergeCell ref="K57:M58"/>
    <mergeCell ref="N57:N58"/>
    <mergeCell ref="K60:M61"/>
    <mergeCell ref="N60:N61"/>
    <mergeCell ref="A2:A265"/>
    <mergeCell ref="B2:E2"/>
    <mergeCell ref="J2:P5"/>
    <mergeCell ref="B4:H4"/>
    <mergeCell ref="B5:G5"/>
    <mergeCell ref="B10:N10"/>
    <mergeCell ref="K14:N14"/>
    <mergeCell ref="B14:E14"/>
    <mergeCell ref="B17:E17"/>
    <mergeCell ref="G17:H17"/>
    <mergeCell ref="B18:E19"/>
    <mergeCell ref="B21:E21"/>
    <mergeCell ref="K51:M52"/>
    <mergeCell ref="N51:N52"/>
    <mergeCell ref="G52:H52"/>
    <mergeCell ref="K54:M55"/>
    <mergeCell ref="N54:N55"/>
    <mergeCell ref="G46:H46"/>
    <mergeCell ref="G49:H49"/>
    <mergeCell ref="K49:N49"/>
    <mergeCell ref="G35:H35"/>
    <mergeCell ref="G37:H37"/>
    <mergeCell ref="G40:H40"/>
    <mergeCell ref="G43:H43"/>
  </mergeCells>
  <dataValidations count="2">
    <dataValidation type="list" allowBlank="1" sqref="G21" xr:uid="{00000000-0002-0000-0200-000000000000}">
      <formula1>$W$22:$W$23</formula1>
    </dataValidation>
    <dataValidation type="list" allowBlank="1" sqref="G17" xr:uid="{00000000-0002-0000-0200-000001000000}">
      <formula1>$W$18:$W$20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England and Wales</vt:lpstr>
      <vt:lpstr>Northern Ireland</vt:lpstr>
      <vt:lpstr>Scotland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Farshan Jemildar</dc:creator>
  <cp:lastModifiedBy>Mohamed Farshan Jemildar</cp:lastModifiedBy>
  <dcterms:created xsi:type="dcterms:W3CDTF">2020-08-21T11:41:38Z</dcterms:created>
  <dcterms:modified xsi:type="dcterms:W3CDTF">2020-08-22T11:44:57Z</dcterms:modified>
</cp:coreProperties>
</file>